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hopowercompany.sharepoint.com/sites/2023GeneralRateCaseWork-Product/Shared Documents/General/Idaho 2025 GRC/Testimony/Anderson/"/>
    </mc:Choice>
  </mc:AlternateContent>
  <xr:revisionPtr revIDLastSave="8" documentId="8_{7FE02DFA-C022-4C1A-BE47-98E4BDB14FF5}" xr6:coauthVersionLast="47" xr6:coauthVersionMax="47" xr10:uidLastSave="{B575B84B-8653-4C9B-933D-923DB7435109}"/>
  <bookViews>
    <workbookView xWindow="-120" yWindow="-120" windowWidth="29040" windowHeight="15720" xr2:uid="{C102626E-E35B-4044-9735-EC0099420C63}"/>
  </bookViews>
  <sheets>
    <sheet name="I01_Base" sheetId="1" r:id="rId1"/>
    <sheet name="I05_Base" sheetId="2" r:id="rId2"/>
    <sheet name="I07_Base" sheetId="3" r:id="rId3"/>
    <sheet name="I09S_Base" sheetId="4" r:id="rId4"/>
    <sheet name="I09P_Base" sheetId="5" r:id="rId5"/>
    <sheet name="I19P_Base" sheetId="6" r:id="rId6"/>
    <sheet name="I24S_Base" sheetId="7" r:id="rId7"/>
  </sheets>
  <externalReferences>
    <externalReference r:id="rId8"/>
  </externalReferences>
  <definedNames>
    <definedName name="Alloc_Weighting">#REF!</definedName>
    <definedName name="AllocatorList">#REF!</definedName>
    <definedName name="Allocators">#REF!</definedName>
    <definedName name="AllocFactor_Input">#REF!</definedName>
    <definedName name="AllocFactor_Input_CustClass">#REF!</definedName>
    <definedName name="AllocFactor_Input_FactorName">#REF!</definedName>
    <definedName name="AllocFactor_Input_TotalFac">#REF!</definedName>
    <definedName name="AllocFactor_Summary">#REF!</definedName>
    <definedName name="AllocFactor_Summary_CustClass">#REF!</definedName>
    <definedName name="AllocFactor_Summary_Desc">#REF!</definedName>
    <definedName name="AvgMillRate">#REF!</definedName>
    <definedName name="Billing_Unit_Alloc">#REF!</definedName>
    <definedName name="ClassAlloc_CustClass">#REF!</definedName>
    <definedName name="ClassAlloc_Opex">#REF!</definedName>
    <definedName name="ClassAlloc_Opex_Desc">#REF!</definedName>
    <definedName name="ClassAlloc_RateBase">#REF!</definedName>
    <definedName name="ClassAlloc_RateBase_Desc">#REF!</definedName>
    <definedName name="ClassAlloc_Rev">#REF!</definedName>
    <definedName name="ClassAlloc_Rev_Desc">#REF!</definedName>
    <definedName name="Company">[1]Inputs!$E$7</definedName>
    <definedName name="Desc_Opex">#REF!</definedName>
    <definedName name="Desc_RateBase">#REF!</definedName>
    <definedName name="Desc_Revenue">#REF!</definedName>
    <definedName name="Docket">[1]Inputs!$E$12</definedName>
    <definedName name="EnergyRounding">[1]Inputs!$E$18</definedName>
    <definedName name="FC_Alloc">#REF!</definedName>
    <definedName name="FC_Export">#REF!</definedName>
    <definedName name="FC_Export_col">#REF!</definedName>
    <definedName name="FC_Factor_Amts">#REF!</definedName>
    <definedName name="FC_Factor_Name">#REF!</definedName>
    <definedName name="FC_Rate_Schedule">#REF!</definedName>
    <definedName name="FC_Table_Desc">#REF!</definedName>
    <definedName name="FC_Weightings">#REF!</definedName>
    <definedName name="Func_Alloc">#REF!</definedName>
    <definedName name="HeadingTitle1">[1]Inputs!$E$9</definedName>
    <definedName name="HeadingTitle2">[1]Inputs!$E$10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SS_import_desc">#REF!</definedName>
    <definedName name="JSS_import_total">#REF!</definedName>
    <definedName name="JSS_Line_Alloc">#REF!</definedName>
    <definedName name="JSS_row">#REF!</definedName>
    <definedName name="NetGrossFactor">#REF!</definedName>
    <definedName name="OpEx_RowNum">#REF!</definedName>
    <definedName name="OtherRev_RowNum">#REF!</definedName>
    <definedName name="OtherRounding">[1]Inputs!$E$19</definedName>
    <definedName name="_xlnm.Print_Area" localSheetId="0">I01_Base!$B$2:$O$38</definedName>
    <definedName name="_xlnm.Print_Area" localSheetId="1">I05_Base!$B$2:$O$38</definedName>
    <definedName name="_xlnm.Print_Area" localSheetId="2">I07_Base!$B$2:$O$38</definedName>
    <definedName name="_xlnm.Print_Area" localSheetId="4">I09P_Base!$B$2:$Q$47</definedName>
    <definedName name="_xlnm.Print_Area" localSheetId="3">I09S_Base!$B$2:$Q$47</definedName>
    <definedName name="_xlnm.Print_Area" localSheetId="5">I19P_Base!$B$2:$Q$47</definedName>
    <definedName name="_xlnm.Print_Area" localSheetId="6">I24S_Base!$B$2:$Q$47</definedName>
    <definedName name="RateBase_RowNum">#REF!</definedName>
    <definedName name="RequiredROR">#REF!</definedName>
    <definedName name="ResultsSummary">#REF!</definedName>
    <definedName name="ResultsSummary_CustClass">#REF!</definedName>
    <definedName name="ResultsSummary_Desc">#REF!</definedName>
    <definedName name="Rounding">[1]Inputs!$E$17</definedName>
    <definedName name="State">[1]Inputs!$E$8</definedName>
    <definedName name="Summary_AccumDefIT">#REF!</definedName>
    <definedName name="Summary_AcqAdj">#REF!</definedName>
    <definedName name="Summary_AmortExp">#REF!</definedName>
    <definedName name="Summary_AmortReserve">#REF!</definedName>
    <definedName name="Summary_CustAddvConst">#REF!</definedName>
    <definedName name="Summary_CWIP">#REF!</definedName>
    <definedName name="Summary_DefITC">#REF!</definedName>
    <definedName name="Summary_DefPrgrms">#REF!</definedName>
    <definedName name="Summary_DepExp">#REF!</definedName>
    <definedName name="Summary_DepReserve">#REF!</definedName>
    <definedName name="Summary_OM">#REF!</definedName>
    <definedName name="Summary_OpEx">#REF!</definedName>
    <definedName name="Summary_OtherTax">#REF!</definedName>
    <definedName name="Summary_PlantInServ">#REF!</definedName>
    <definedName name="Summary_PltHFFU">#REF!</definedName>
    <definedName name="Summary_ProvDefIT">#REF!</definedName>
    <definedName name="Summary_RateBase">#REF!</definedName>
    <definedName name="Summary_RegDebCred">#REF!</definedName>
    <definedName name="Summary_Revenue">#REF!</definedName>
    <definedName name="Summary_SbsdryRB">#REF!</definedName>
    <definedName name="Summary_SubstCIAC">#REF!</definedName>
    <definedName name="Summary_WC">#REF!</definedName>
    <definedName name="Table21_Desc">#REF!</definedName>
    <definedName name="Table21_StateIncTax">#REF!</definedName>
    <definedName name="Table22_Desc">#REF!</definedName>
    <definedName name="Table22_FedIncTax">#REF!</definedName>
    <definedName name="TOU_Cost">[1]Inputs!$E$23</definedName>
    <definedName name="Version">[1]Inputs!$E$11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7" l="1"/>
  <c r="F45" i="7"/>
  <c r="U44" i="7"/>
  <c r="T44" i="7"/>
  <c r="F44" i="7"/>
  <c r="I44" i="7" s="1"/>
  <c r="U43" i="7"/>
  <c r="F43" i="7"/>
  <c r="U42" i="7"/>
  <c r="F42" i="7"/>
  <c r="T41" i="7"/>
  <c r="F41" i="7"/>
  <c r="U40" i="7"/>
  <c r="J40" i="7"/>
  <c r="I40" i="7"/>
  <c r="F40" i="7"/>
  <c r="U39" i="7"/>
  <c r="J39" i="7"/>
  <c r="G39" i="7"/>
  <c r="F39" i="7"/>
  <c r="U38" i="7"/>
  <c r="G38" i="7"/>
  <c r="F38" i="7"/>
  <c r="U37" i="7"/>
  <c r="T37" i="7"/>
  <c r="F37" i="7"/>
  <c r="U36" i="7"/>
  <c r="T36" i="7"/>
  <c r="F36" i="7"/>
  <c r="U35" i="7"/>
  <c r="T35" i="7"/>
  <c r="F35" i="7"/>
  <c r="U34" i="7"/>
  <c r="J34" i="7"/>
  <c r="F34" i="7"/>
  <c r="J33" i="7"/>
  <c r="I33" i="7"/>
  <c r="F33" i="7"/>
  <c r="U32" i="7"/>
  <c r="J32" i="7"/>
  <c r="I32" i="7"/>
  <c r="F32" i="7"/>
  <c r="U31" i="7"/>
  <c r="J31" i="7"/>
  <c r="I31" i="7"/>
  <c r="G31" i="7"/>
  <c r="F31" i="7"/>
  <c r="U30" i="7"/>
  <c r="F30" i="7"/>
  <c r="G30" i="7" s="1"/>
  <c r="I29" i="7"/>
  <c r="G29" i="7"/>
  <c r="F29" i="7"/>
  <c r="U28" i="7"/>
  <c r="I28" i="7"/>
  <c r="F28" i="7"/>
  <c r="U27" i="7"/>
  <c r="T27" i="7"/>
  <c r="G27" i="7"/>
  <c r="F27" i="7"/>
  <c r="J27" i="7" s="1"/>
  <c r="U26" i="7"/>
  <c r="T26" i="7"/>
  <c r="F26" i="7"/>
  <c r="U25" i="7"/>
  <c r="T25" i="7"/>
  <c r="F25" i="7"/>
  <c r="U24" i="7"/>
  <c r="T24" i="7"/>
  <c r="F24" i="7"/>
  <c r="U23" i="7"/>
  <c r="T23" i="7"/>
  <c r="F23" i="7"/>
  <c r="Y22" i="7"/>
  <c r="H29" i="7" s="1"/>
  <c r="X22" i="7"/>
  <c r="U22" i="7"/>
  <c r="T22" i="7"/>
  <c r="F22" i="7"/>
  <c r="AA21" i="7"/>
  <c r="Z21" i="7"/>
  <c r="Y21" i="7"/>
  <c r="X21" i="7"/>
  <c r="U21" i="7"/>
  <c r="T21" i="7"/>
  <c r="F21" i="7"/>
  <c r="G21" i="7" s="1"/>
  <c r="AA20" i="7"/>
  <c r="Z20" i="7"/>
  <c r="Y20" i="7"/>
  <c r="X20" i="7"/>
  <c r="U20" i="7"/>
  <c r="F20" i="7"/>
  <c r="AA19" i="7"/>
  <c r="U45" i="7" s="1"/>
  <c r="Z19" i="7"/>
  <c r="Y19" i="7"/>
  <c r="X19" i="7"/>
  <c r="G43" i="7" s="1"/>
  <c r="U19" i="7"/>
  <c r="T19" i="7"/>
  <c r="F19" i="7"/>
  <c r="U18" i="7"/>
  <c r="T18" i="7"/>
  <c r="J18" i="7"/>
  <c r="F18" i="7"/>
  <c r="U17" i="7"/>
  <c r="J17" i="7"/>
  <c r="I17" i="7"/>
  <c r="F17" i="7"/>
  <c r="U16" i="7"/>
  <c r="T16" i="7"/>
  <c r="J16" i="7"/>
  <c r="H16" i="7"/>
  <c r="L16" i="7" s="1"/>
  <c r="G16" i="7"/>
  <c r="F16" i="7"/>
  <c r="C7" i="7"/>
  <c r="C6" i="7"/>
  <c r="C4" i="7"/>
  <c r="C3" i="7"/>
  <c r="D42" i="6"/>
  <c r="D38" i="6"/>
  <c r="D37" i="6"/>
  <c r="D34" i="6"/>
  <c r="D33" i="6"/>
  <c r="D32" i="6"/>
  <c r="S31" i="6"/>
  <c r="U28" i="6"/>
  <c r="T28" i="6"/>
  <c r="D28" i="6"/>
  <c r="T27" i="6"/>
  <c r="D27" i="6"/>
  <c r="T26" i="6"/>
  <c r="V26" i="6" s="1"/>
  <c r="E26" i="6"/>
  <c r="V25" i="6"/>
  <c r="U25" i="6"/>
  <c r="W25" i="6" s="1"/>
  <c r="T25" i="6"/>
  <c r="W24" i="6"/>
  <c r="V24" i="6"/>
  <c r="U24" i="6"/>
  <c r="T24" i="6"/>
  <c r="V23" i="6"/>
  <c r="U23" i="6"/>
  <c r="W23" i="6" s="1"/>
  <c r="T23" i="6"/>
  <c r="U22" i="6"/>
  <c r="T22" i="6"/>
  <c r="D22" i="6"/>
  <c r="U21" i="6"/>
  <c r="T21" i="6"/>
  <c r="H21" i="6"/>
  <c r="F21" i="6"/>
  <c r="E21" i="6"/>
  <c r="U20" i="6"/>
  <c r="T20" i="6"/>
  <c r="V19" i="6"/>
  <c r="T19" i="6"/>
  <c r="W18" i="6"/>
  <c r="V18" i="6"/>
  <c r="U18" i="6"/>
  <c r="T18" i="6"/>
  <c r="E18" i="6"/>
  <c r="D18" i="6"/>
  <c r="C18" i="6"/>
  <c r="W17" i="6"/>
  <c r="V17" i="6"/>
  <c r="U17" i="6"/>
  <c r="T17" i="6"/>
  <c r="E17" i="6"/>
  <c r="E22" i="6" s="1"/>
  <c r="D17" i="6"/>
  <c r="C17" i="6"/>
  <c r="W16" i="6"/>
  <c r="V16" i="6"/>
  <c r="U16" i="6"/>
  <c r="T16" i="6"/>
  <c r="F16" i="6"/>
  <c r="C7" i="6"/>
  <c r="C6" i="6"/>
  <c r="C5" i="6"/>
  <c r="C4" i="6"/>
  <c r="C3" i="6"/>
  <c r="E45" i="5"/>
  <c r="E38" i="5"/>
  <c r="E43" i="5" s="1"/>
  <c r="E35" i="5"/>
  <c r="E40" i="5" s="1"/>
  <c r="E34" i="5"/>
  <c r="E39" i="5" s="1"/>
  <c r="E44" i="5" s="1"/>
  <c r="U28" i="5"/>
  <c r="T28" i="5"/>
  <c r="T27" i="5"/>
  <c r="J16" i="5" s="1"/>
  <c r="E27" i="5"/>
  <c r="E32" i="5" s="1"/>
  <c r="E37" i="5" s="1"/>
  <c r="E42" i="5" s="1"/>
  <c r="T26" i="5"/>
  <c r="V26" i="5" s="1"/>
  <c r="E26" i="5"/>
  <c r="E31" i="5" s="1"/>
  <c r="E36" i="5" s="1"/>
  <c r="E41" i="5" s="1"/>
  <c r="V25" i="5"/>
  <c r="U25" i="5"/>
  <c r="T25" i="5"/>
  <c r="V24" i="5"/>
  <c r="I16" i="5" s="1"/>
  <c r="U24" i="5"/>
  <c r="T24" i="5"/>
  <c r="E24" i="5"/>
  <c r="E29" i="5" s="1"/>
  <c r="U23" i="5"/>
  <c r="T23" i="5"/>
  <c r="V23" i="5" s="1"/>
  <c r="E23" i="5"/>
  <c r="E28" i="5" s="1"/>
  <c r="E33" i="5" s="1"/>
  <c r="W22" i="5"/>
  <c r="V22" i="5"/>
  <c r="U22" i="5"/>
  <c r="T22" i="5"/>
  <c r="E22" i="5"/>
  <c r="W21" i="5"/>
  <c r="V21" i="5"/>
  <c r="U21" i="5"/>
  <c r="T21" i="5"/>
  <c r="E21" i="5"/>
  <c r="D21" i="5"/>
  <c r="W20" i="5"/>
  <c r="V20" i="5"/>
  <c r="U20" i="5"/>
  <c r="T20" i="5"/>
  <c r="E20" i="5"/>
  <c r="E25" i="5" s="1"/>
  <c r="E30" i="5" s="1"/>
  <c r="V19" i="5"/>
  <c r="T19" i="5"/>
  <c r="W18" i="5"/>
  <c r="V18" i="5"/>
  <c r="U18" i="5"/>
  <c r="T18" i="5"/>
  <c r="E18" i="5"/>
  <c r="E19" i="5" s="1"/>
  <c r="W17" i="5"/>
  <c r="V17" i="5"/>
  <c r="U17" i="5"/>
  <c r="T17" i="5"/>
  <c r="E17" i="5"/>
  <c r="D17" i="5"/>
  <c r="C17" i="5"/>
  <c r="W16" i="5"/>
  <c r="V16" i="5"/>
  <c r="T16" i="5"/>
  <c r="U16" i="5" s="1"/>
  <c r="F16" i="5"/>
  <c r="C7" i="5"/>
  <c r="C6" i="5"/>
  <c r="C5" i="5"/>
  <c r="C4" i="5"/>
  <c r="C3" i="5"/>
  <c r="D42" i="4"/>
  <c r="D43" i="4" s="1"/>
  <c r="G41" i="4"/>
  <c r="D37" i="4"/>
  <c r="F36" i="4"/>
  <c r="G36" i="4" s="1"/>
  <c r="D32" i="4"/>
  <c r="D27" i="4"/>
  <c r="F26" i="4"/>
  <c r="E26" i="4"/>
  <c r="E31" i="4" s="1"/>
  <c r="E36" i="4" s="1"/>
  <c r="E41" i="4" s="1"/>
  <c r="F41" i="4" s="1"/>
  <c r="D25" i="4"/>
  <c r="S24" i="4"/>
  <c r="D24" i="4"/>
  <c r="D23" i="4"/>
  <c r="D22" i="4"/>
  <c r="U21" i="4"/>
  <c r="T21" i="4"/>
  <c r="H21" i="4"/>
  <c r="G21" i="4"/>
  <c r="F21" i="4"/>
  <c r="E21" i="4"/>
  <c r="V20" i="4"/>
  <c r="I16" i="4" s="1"/>
  <c r="U20" i="4"/>
  <c r="T20" i="4"/>
  <c r="W19" i="4"/>
  <c r="V19" i="4"/>
  <c r="U19" i="4"/>
  <c r="T19" i="4"/>
  <c r="W18" i="4"/>
  <c r="V18" i="4"/>
  <c r="U18" i="4"/>
  <c r="T18" i="4"/>
  <c r="D18" i="4"/>
  <c r="D19" i="4" s="1"/>
  <c r="W17" i="4"/>
  <c r="V17" i="4"/>
  <c r="U17" i="4"/>
  <c r="H26" i="4" s="1"/>
  <c r="T17" i="4"/>
  <c r="E17" i="4"/>
  <c r="D17" i="4"/>
  <c r="C17" i="4"/>
  <c r="W16" i="4"/>
  <c r="V16" i="4"/>
  <c r="U16" i="4"/>
  <c r="T16" i="4"/>
  <c r="H16" i="4"/>
  <c r="G16" i="4"/>
  <c r="F16" i="4"/>
  <c r="C7" i="4"/>
  <c r="C6" i="4"/>
  <c r="C5" i="4"/>
  <c r="C4" i="4"/>
  <c r="C3" i="4"/>
  <c r="H99" i="3"/>
  <c r="L99" i="3" s="1"/>
  <c r="H98" i="3"/>
  <c r="J98" i="3" s="1"/>
  <c r="G98" i="3"/>
  <c r="F98" i="3"/>
  <c r="S23" i="3"/>
  <c r="R23" i="3"/>
  <c r="U22" i="3"/>
  <c r="T22" i="3"/>
  <c r="S22" i="3"/>
  <c r="F99" i="3" s="1"/>
  <c r="R22" i="3"/>
  <c r="U21" i="3"/>
  <c r="T21" i="3"/>
  <c r="S21" i="3"/>
  <c r="R21" i="3"/>
  <c r="U20" i="3"/>
  <c r="T20" i="3"/>
  <c r="S20" i="3"/>
  <c r="R20" i="3"/>
  <c r="E98" i="3" s="1"/>
  <c r="G18" i="3"/>
  <c r="D18" i="3"/>
  <c r="C18" i="3" s="1"/>
  <c r="F17" i="3"/>
  <c r="C7" i="3"/>
  <c r="C6" i="3"/>
  <c r="C5" i="3"/>
  <c r="C4" i="3"/>
  <c r="C3" i="3"/>
  <c r="D29" i="2"/>
  <c r="H29" i="2" s="1"/>
  <c r="H28" i="2"/>
  <c r="G28" i="2"/>
  <c r="D28" i="2"/>
  <c r="R27" i="2"/>
  <c r="S27" i="2" s="1"/>
  <c r="D27" i="2"/>
  <c r="U26" i="2"/>
  <c r="T26" i="2"/>
  <c r="S26" i="2"/>
  <c r="R26" i="2"/>
  <c r="U25" i="2"/>
  <c r="R25" i="2"/>
  <c r="T25" i="2" s="1"/>
  <c r="T24" i="2"/>
  <c r="S24" i="2"/>
  <c r="U24" i="2" s="1"/>
  <c r="R24" i="2"/>
  <c r="U23" i="2"/>
  <c r="T23" i="2"/>
  <c r="S23" i="2"/>
  <c r="R23" i="2"/>
  <c r="T22" i="2"/>
  <c r="R22" i="2"/>
  <c r="U21" i="2"/>
  <c r="H17" i="2" s="1"/>
  <c r="T21" i="2"/>
  <c r="S21" i="2"/>
  <c r="F18" i="2" s="1"/>
  <c r="R21" i="2"/>
  <c r="U20" i="2"/>
  <c r="T20" i="2"/>
  <c r="S20" i="2"/>
  <c r="R20" i="2"/>
  <c r="D18" i="2"/>
  <c r="C18" i="2"/>
  <c r="C7" i="2"/>
  <c r="C6" i="2"/>
  <c r="C5" i="2"/>
  <c r="C4" i="2"/>
  <c r="C3" i="2"/>
  <c r="D27" i="1"/>
  <c r="E27" i="1" s="1"/>
  <c r="S24" i="1"/>
  <c r="R24" i="1"/>
  <c r="U23" i="1"/>
  <c r="H26" i="1" s="1"/>
  <c r="T23" i="1"/>
  <c r="S23" i="1"/>
  <c r="R23" i="1"/>
  <c r="E18" i="1" s="1"/>
  <c r="U22" i="1"/>
  <c r="T22" i="1"/>
  <c r="S22" i="1"/>
  <c r="F18" i="1" s="1"/>
  <c r="R22" i="1"/>
  <c r="U21" i="1"/>
  <c r="T21" i="1"/>
  <c r="S21" i="1"/>
  <c r="R21" i="1"/>
  <c r="U20" i="1"/>
  <c r="T20" i="1"/>
  <c r="S20" i="1"/>
  <c r="R20" i="1"/>
  <c r="F19" i="1"/>
  <c r="D18" i="1"/>
  <c r="D19" i="1" s="1"/>
  <c r="C18" i="1"/>
  <c r="E17" i="1"/>
  <c r="C7" i="1"/>
  <c r="C6" i="1"/>
  <c r="C5" i="1"/>
  <c r="C4" i="1"/>
  <c r="C3" i="1"/>
  <c r="M16" i="4" l="1"/>
  <c r="K16" i="4"/>
  <c r="D20" i="4"/>
  <c r="C19" i="4"/>
  <c r="L29" i="2"/>
  <c r="J29" i="2"/>
  <c r="K28" i="2"/>
  <c r="I28" i="2"/>
  <c r="I98" i="3"/>
  <c r="E22" i="4"/>
  <c r="E18" i="4"/>
  <c r="E17" i="2"/>
  <c r="E18" i="2"/>
  <c r="F17" i="4"/>
  <c r="D20" i="1"/>
  <c r="H19" i="1"/>
  <c r="I17" i="4"/>
  <c r="G18" i="2"/>
  <c r="E28" i="1"/>
  <c r="E26" i="1"/>
  <c r="E27" i="2"/>
  <c r="E29" i="2"/>
  <c r="J99" i="3"/>
  <c r="E23" i="6"/>
  <c r="E28" i="6" s="1"/>
  <c r="E19" i="6"/>
  <c r="F28" i="1"/>
  <c r="F26" i="1"/>
  <c r="L26" i="1" s="1"/>
  <c r="F27" i="1"/>
  <c r="F17" i="1"/>
  <c r="H17" i="1"/>
  <c r="H26" i="2"/>
  <c r="H18" i="2"/>
  <c r="E26" i="2"/>
  <c r="F27" i="2"/>
  <c r="F29" i="2"/>
  <c r="D28" i="4"/>
  <c r="D35" i="6"/>
  <c r="J21" i="7"/>
  <c r="G28" i="1"/>
  <c r="G18" i="1"/>
  <c r="G17" i="1"/>
  <c r="G26" i="1"/>
  <c r="G27" i="1"/>
  <c r="F26" i="2"/>
  <c r="H27" i="2"/>
  <c r="E17" i="3"/>
  <c r="C19" i="1"/>
  <c r="J26" i="1"/>
  <c r="G26" i="2"/>
  <c r="H27" i="1"/>
  <c r="D28" i="1"/>
  <c r="D33" i="4"/>
  <c r="G29" i="2"/>
  <c r="D30" i="2"/>
  <c r="L39" i="7"/>
  <c r="N39" i="7"/>
  <c r="E19" i="1"/>
  <c r="E27" i="6"/>
  <c r="F22" i="6"/>
  <c r="H17" i="6"/>
  <c r="G21" i="6"/>
  <c r="N33" i="7"/>
  <c r="L33" i="7"/>
  <c r="J20" i="7"/>
  <c r="I20" i="7"/>
  <c r="H20" i="7"/>
  <c r="G20" i="7"/>
  <c r="D19" i="3"/>
  <c r="C18" i="4"/>
  <c r="W20" i="4"/>
  <c r="G19" i="1"/>
  <c r="F28" i="2"/>
  <c r="L28" i="2" s="1"/>
  <c r="E18" i="3"/>
  <c r="I18" i="3" s="1"/>
  <c r="D44" i="4"/>
  <c r="E28" i="2"/>
  <c r="M28" i="2" s="1"/>
  <c r="N28" i="2" s="1"/>
  <c r="F18" i="3"/>
  <c r="M29" i="7"/>
  <c r="K29" i="7"/>
  <c r="M32" i="7"/>
  <c r="H18" i="1"/>
  <c r="G17" i="3"/>
  <c r="H36" i="4"/>
  <c r="H17" i="4"/>
  <c r="G17" i="4"/>
  <c r="G26" i="4"/>
  <c r="H41" i="4"/>
  <c r="G22" i="6"/>
  <c r="D23" i="6"/>
  <c r="H22" i="6"/>
  <c r="K98" i="3"/>
  <c r="I41" i="4"/>
  <c r="H16" i="5"/>
  <c r="L16" i="5" s="1"/>
  <c r="L98" i="3"/>
  <c r="I21" i="4"/>
  <c r="I36" i="4"/>
  <c r="I26" i="4"/>
  <c r="M98" i="3"/>
  <c r="N98" i="3" s="1"/>
  <c r="J26" i="4"/>
  <c r="F17" i="2"/>
  <c r="L17" i="2" s="1"/>
  <c r="G27" i="2"/>
  <c r="H19" i="3"/>
  <c r="H18" i="3"/>
  <c r="M18" i="3" s="1"/>
  <c r="N18" i="3" s="1"/>
  <c r="H17" i="3"/>
  <c r="F31" i="4"/>
  <c r="H31" i="4" s="1"/>
  <c r="H21" i="5"/>
  <c r="G17" i="2"/>
  <c r="G99" i="3"/>
  <c r="I17" i="5"/>
  <c r="D18" i="5"/>
  <c r="H17" i="5"/>
  <c r="F17" i="5"/>
  <c r="E31" i="6"/>
  <c r="F26" i="6"/>
  <c r="H16" i="6"/>
  <c r="G16" i="6"/>
  <c r="H26" i="6"/>
  <c r="N16" i="7"/>
  <c r="G19" i="7"/>
  <c r="G37" i="7"/>
  <c r="G25" i="7"/>
  <c r="H28" i="1"/>
  <c r="E99" i="3"/>
  <c r="D26" i="5"/>
  <c r="F21" i="5"/>
  <c r="I21" i="5" s="1"/>
  <c r="J21" i="5"/>
  <c r="D22" i="5"/>
  <c r="H18" i="6"/>
  <c r="D19" i="6"/>
  <c r="F18" i="6"/>
  <c r="G18" i="6" s="1"/>
  <c r="K28" i="7"/>
  <c r="O28" i="7"/>
  <c r="P28" i="7" s="1"/>
  <c r="M28" i="7"/>
  <c r="D39" i="6"/>
  <c r="M31" i="7"/>
  <c r="K31" i="7"/>
  <c r="H28" i="7"/>
  <c r="H45" i="7"/>
  <c r="H30" i="7"/>
  <c r="H26" i="7"/>
  <c r="D38" i="4"/>
  <c r="H36" i="7"/>
  <c r="I36" i="7"/>
  <c r="I24" i="7"/>
  <c r="I43" i="7"/>
  <c r="I37" i="7"/>
  <c r="I25" i="7"/>
  <c r="I22" i="7"/>
  <c r="I45" i="7"/>
  <c r="I27" i="7"/>
  <c r="I21" i="7"/>
  <c r="G16" i="5"/>
  <c r="K16" i="5" s="1"/>
  <c r="D19" i="2"/>
  <c r="J19" i="7"/>
  <c r="J38" i="7"/>
  <c r="J25" i="7"/>
  <c r="J35" i="7"/>
  <c r="J23" i="7"/>
  <c r="J42" i="7"/>
  <c r="J36" i="7"/>
  <c r="J24" i="7"/>
  <c r="J43" i="7"/>
  <c r="J22" i="7"/>
  <c r="J44" i="7"/>
  <c r="J26" i="7"/>
  <c r="J28" i="7"/>
  <c r="J30" i="7"/>
  <c r="J45" i="7"/>
  <c r="G26" i="7"/>
  <c r="H38" i="7"/>
  <c r="H44" i="7"/>
  <c r="T17" i="7"/>
  <c r="H22" i="7"/>
  <c r="G24" i="7"/>
  <c r="H25" i="7"/>
  <c r="T32" i="7"/>
  <c r="T33" i="7"/>
  <c r="G36" i="7"/>
  <c r="H37" i="7"/>
  <c r="T40" i="7"/>
  <c r="G44" i="7"/>
  <c r="K44" i="7" s="1"/>
  <c r="G32" i="7"/>
  <c r="K32" i="7" s="1"/>
  <c r="G22" i="7"/>
  <c r="G41" i="7"/>
  <c r="G40" i="7"/>
  <c r="M40" i="7" s="1"/>
  <c r="G28" i="7"/>
  <c r="G18" i="7"/>
  <c r="G23" i="7"/>
  <c r="H24" i="7"/>
  <c r="T31" i="7"/>
  <c r="G35" i="7"/>
  <c r="G42" i="7"/>
  <c r="H43" i="7"/>
  <c r="T34" i="7"/>
  <c r="H31" i="7"/>
  <c r="O31" i="7" s="1"/>
  <c r="P31" i="7" s="1"/>
  <c r="T20" i="7"/>
  <c r="T43" i="7"/>
  <c r="H40" i="7"/>
  <c r="T42" i="7"/>
  <c r="H39" i="7"/>
  <c r="T30" i="7"/>
  <c r="H27" i="7"/>
  <c r="L27" i="7" s="1"/>
  <c r="H21" i="7"/>
  <c r="H17" i="7"/>
  <c r="N17" i="7" s="1"/>
  <c r="H23" i="7"/>
  <c r="G34" i="7"/>
  <c r="H35" i="7"/>
  <c r="T39" i="7"/>
  <c r="H42" i="7"/>
  <c r="D29" i="6"/>
  <c r="D43" i="6"/>
  <c r="H18" i="7"/>
  <c r="N18" i="7" s="1"/>
  <c r="H19" i="7"/>
  <c r="I42" i="7"/>
  <c r="I30" i="7"/>
  <c r="I39" i="7"/>
  <c r="I38" i="7"/>
  <c r="I26" i="7"/>
  <c r="I16" i="7"/>
  <c r="I23" i="7"/>
  <c r="G33" i="7"/>
  <c r="M33" i="7" s="1"/>
  <c r="H34" i="7"/>
  <c r="L34" i="7" s="1"/>
  <c r="I35" i="7"/>
  <c r="H41" i="7"/>
  <c r="F17" i="6"/>
  <c r="G17" i="7"/>
  <c r="I18" i="7"/>
  <c r="I19" i="7"/>
  <c r="T28" i="7"/>
  <c r="T29" i="7"/>
  <c r="H32" i="7"/>
  <c r="N32" i="7" s="1"/>
  <c r="H33" i="7"/>
  <c r="I34" i="7"/>
  <c r="T38" i="7"/>
  <c r="I41" i="7"/>
  <c r="T45" i="7"/>
  <c r="U29" i="7"/>
  <c r="J37" i="7"/>
  <c r="U41" i="7"/>
  <c r="J29" i="7"/>
  <c r="U33" i="7"/>
  <c r="O33" i="7" s="1"/>
  <c r="P33" i="7" s="1"/>
  <c r="J41" i="7"/>
  <c r="O24" i="7" l="1"/>
  <c r="P24" i="7" s="1"/>
  <c r="K24" i="7"/>
  <c r="M24" i="7"/>
  <c r="L26" i="2"/>
  <c r="J26" i="2"/>
  <c r="D24" i="6"/>
  <c r="F23" i="6"/>
  <c r="L24" i="7"/>
  <c r="N24" i="7"/>
  <c r="D19" i="5"/>
  <c r="J18" i="5"/>
  <c r="G18" i="5"/>
  <c r="C18" i="5"/>
  <c r="F18" i="5"/>
  <c r="I18" i="5"/>
  <c r="H18" i="5"/>
  <c r="M35" i="7"/>
  <c r="K35" i="7"/>
  <c r="O35" i="7"/>
  <c r="P35" i="7" s="1"/>
  <c r="E20" i="6"/>
  <c r="E25" i="6" s="1"/>
  <c r="E30" i="6" s="1"/>
  <c r="E35" i="6" s="1"/>
  <c r="E40" i="6" s="1"/>
  <c r="E45" i="6" s="1"/>
  <c r="E24" i="6"/>
  <c r="E29" i="6" s="1"/>
  <c r="E34" i="6" s="1"/>
  <c r="N29" i="7"/>
  <c r="L29" i="7"/>
  <c r="J21" i="4"/>
  <c r="J17" i="4"/>
  <c r="J16" i="4"/>
  <c r="E23" i="4"/>
  <c r="E19" i="4"/>
  <c r="K18" i="7"/>
  <c r="O18" i="7"/>
  <c r="P18" i="7" s="1"/>
  <c r="M18" i="7"/>
  <c r="H30" i="2"/>
  <c r="G30" i="2"/>
  <c r="E30" i="2"/>
  <c r="F30" i="2"/>
  <c r="D31" i="2"/>
  <c r="N45" i="7"/>
  <c r="L45" i="7"/>
  <c r="D39" i="4"/>
  <c r="K17" i="4"/>
  <c r="M17" i="4"/>
  <c r="M19" i="1"/>
  <c r="N19" i="1" s="1"/>
  <c r="K19" i="1"/>
  <c r="I19" i="1"/>
  <c r="K18" i="1"/>
  <c r="I18" i="1"/>
  <c r="M18" i="1"/>
  <c r="N18" i="1" s="1"/>
  <c r="F35" i="6"/>
  <c r="O36" i="7"/>
  <c r="P36" i="7" s="1"/>
  <c r="K36" i="7"/>
  <c r="M36" i="7"/>
  <c r="N16" i="5"/>
  <c r="N42" i="7"/>
  <c r="L42" i="7"/>
  <c r="I22" i="5"/>
  <c r="J22" i="5"/>
  <c r="H22" i="5"/>
  <c r="D23" i="5"/>
  <c r="G22" i="5"/>
  <c r="F22" i="5"/>
  <c r="J19" i="3"/>
  <c r="K41" i="4"/>
  <c r="M41" i="4"/>
  <c r="I28" i="1"/>
  <c r="M28" i="1"/>
  <c r="N28" i="1" s="1"/>
  <c r="K28" i="1"/>
  <c r="O19" i="7"/>
  <c r="P19" i="7" s="1"/>
  <c r="M19" i="7"/>
  <c r="K19" i="7"/>
  <c r="O17" i="7"/>
  <c r="P17" i="7" s="1"/>
  <c r="O26" i="4"/>
  <c r="P26" i="4" s="1"/>
  <c r="M26" i="4"/>
  <c r="K26" i="4"/>
  <c r="L35" i="7"/>
  <c r="N35" i="7"/>
  <c r="C20" i="4"/>
  <c r="N37" i="7"/>
  <c r="L37" i="7"/>
  <c r="M16" i="7"/>
  <c r="O16" i="7"/>
  <c r="P16" i="7" s="1"/>
  <c r="K16" i="7"/>
  <c r="N25" i="7"/>
  <c r="L25" i="7"/>
  <c r="M44" i="7"/>
  <c r="F18" i="4"/>
  <c r="M26" i="7"/>
  <c r="O26" i="7"/>
  <c r="P26" i="7" s="1"/>
  <c r="K26" i="7"/>
  <c r="N30" i="7"/>
  <c r="L30" i="7"/>
  <c r="N38" i="7"/>
  <c r="L38" i="7"/>
  <c r="K33" i="7"/>
  <c r="G21" i="5"/>
  <c r="O21" i="5" s="1"/>
  <c r="P21" i="5" s="1"/>
  <c r="G31" i="4"/>
  <c r="M27" i="2"/>
  <c r="N27" i="2" s="1"/>
  <c r="K27" i="2"/>
  <c r="I27" i="2"/>
  <c r="O44" i="7"/>
  <c r="P44" i="7" s="1"/>
  <c r="E32" i="6"/>
  <c r="F27" i="6"/>
  <c r="D34" i="4"/>
  <c r="D29" i="4"/>
  <c r="L19" i="1"/>
  <c r="J19" i="1"/>
  <c r="K18" i="3"/>
  <c r="M38" i="7"/>
  <c r="O38" i="7"/>
  <c r="P38" i="7" s="1"/>
  <c r="K38" i="7"/>
  <c r="F29" i="6"/>
  <c r="D30" i="6"/>
  <c r="N28" i="7"/>
  <c r="L28" i="7"/>
  <c r="N19" i="7"/>
  <c r="L19" i="7"/>
  <c r="O45" i="7"/>
  <c r="P45" i="7" s="1"/>
  <c r="M45" i="7"/>
  <c r="K45" i="7"/>
  <c r="G26" i="6"/>
  <c r="D31" i="5"/>
  <c r="S31" i="5"/>
  <c r="F26" i="5"/>
  <c r="G26" i="5" s="1"/>
  <c r="D27" i="5"/>
  <c r="J26" i="5"/>
  <c r="I26" i="5"/>
  <c r="H26" i="5"/>
  <c r="I31" i="4"/>
  <c r="L32" i="7"/>
  <c r="O29" i="7"/>
  <c r="P29" i="7" s="1"/>
  <c r="D45" i="4"/>
  <c r="D20" i="3"/>
  <c r="E19" i="3"/>
  <c r="R27" i="3" s="1"/>
  <c r="C19" i="3"/>
  <c r="G19" i="3"/>
  <c r="F19" i="3"/>
  <c r="L19" i="3" s="1"/>
  <c r="D29" i="1"/>
  <c r="K27" i="1"/>
  <c r="I27" i="1"/>
  <c r="M27" i="1"/>
  <c r="N27" i="1" s="1"/>
  <c r="H20" i="1"/>
  <c r="G20" i="1"/>
  <c r="F20" i="1"/>
  <c r="E20" i="1"/>
  <c r="D21" i="1"/>
  <c r="C20" i="1"/>
  <c r="J17" i="2"/>
  <c r="N20" i="7"/>
  <c r="L20" i="7"/>
  <c r="L41" i="7"/>
  <c r="N41" i="7"/>
  <c r="L36" i="7"/>
  <c r="N36" i="7"/>
  <c r="K17" i="5"/>
  <c r="J17" i="1"/>
  <c r="L17" i="1"/>
  <c r="K18" i="2"/>
  <c r="M18" i="2"/>
  <c r="N18" i="2" s="1"/>
  <c r="I18" i="2"/>
  <c r="L27" i="2"/>
  <c r="J27" i="2"/>
  <c r="E27" i="4"/>
  <c r="F22" i="4"/>
  <c r="O21" i="7"/>
  <c r="P21" i="7" s="1"/>
  <c r="M21" i="7"/>
  <c r="K21" i="7"/>
  <c r="E36" i="6"/>
  <c r="F31" i="6"/>
  <c r="N34" i="7"/>
  <c r="O27" i="7"/>
  <c r="P27" i="7" s="1"/>
  <c r="M27" i="7"/>
  <c r="K27" i="7"/>
  <c r="K41" i="7"/>
  <c r="O41" i="7"/>
  <c r="P41" i="7" s="1"/>
  <c r="M41" i="7"/>
  <c r="G17" i="6"/>
  <c r="O39" i="7"/>
  <c r="P39" i="7" s="1"/>
  <c r="M39" i="7"/>
  <c r="K39" i="7"/>
  <c r="N26" i="7"/>
  <c r="L26" i="7"/>
  <c r="L17" i="7"/>
  <c r="O22" i="7"/>
  <c r="P22" i="7" s="1"/>
  <c r="K22" i="7"/>
  <c r="M22" i="7"/>
  <c r="D40" i="6"/>
  <c r="J27" i="1"/>
  <c r="L27" i="1"/>
  <c r="J28" i="2"/>
  <c r="J28" i="1"/>
  <c r="L28" i="1"/>
  <c r="N26" i="4"/>
  <c r="L26" i="4"/>
  <c r="D20" i="2"/>
  <c r="H19" i="2"/>
  <c r="G19" i="2"/>
  <c r="F19" i="2"/>
  <c r="C19" i="2"/>
  <c r="E19" i="2"/>
  <c r="N21" i="5"/>
  <c r="L21" i="5"/>
  <c r="M23" i="7"/>
  <c r="O23" i="7"/>
  <c r="P23" i="7" s="1"/>
  <c r="K23" i="7"/>
  <c r="M17" i="7"/>
  <c r="K17" i="7"/>
  <c r="C21" i="4"/>
  <c r="M29" i="2"/>
  <c r="N29" i="2" s="1"/>
  <c r="K29" i="2"/>
  <c r="I29" i="2"/>
  <c r="O30" i="7"/>
  <c r="P30" i="7" s="1"/>
  <c r="M30" i="7"/>
  <c r="K30" i="7"/>
  <c r="L40" i="7"/>
  <c r="N40" i="7"/>
  <c r="N44" i="7"/>
  <c r="L44" i="7"/>
  <c r="M25" i="7"/>
  <c r="K25" i="7"/>
  <c r="O25" i="7"/>
  <c r="P25" i="7" s="1"/>
  <c r="O40" i="7"/>
  <c r="P40" i="7" s="1"/>
  <c r="M99" i="3"/>
  <c r="N99" i="3" s="1"/>
  <c r="K99" i="3"/>
  <c r="I99" i="3"/>
  <c r="M36" i="4"/>
  <c r="K36" i="4"/>
  <c r="N27" i="7"/>
  <c r="L21" i="7"/>
  <c r="N21" i="7"/>
  <c r="M16" i="5"/>
  <c r="L31" i="7"/>
  <c r="N31" i="7"/>
  <c r="L17" i="3"/>
  <c r="J17" i="3"/>
  <c r="E33" i="6"/>
  <c r="F28" i="6"/>
  <c r="L18" i="7"/>
  <c r="M34" i="7"/>
  <c r="O34" i="7"/>
  <c r="P34" i="7" s="1"/>
  <c r="K34" i="7"/>
  <c r="K42" i="7"/>
  <c r="O42" i="7"/>
  <c r="P42" i="7" s="1"/>
  <c r="M42" i="7"/>
  <c r="L22" i="7"/>
  <c r="N22" i="7"/>
  <c r="K37" i="7"/>
  <c r="O37" i="7"/>
  <c r="P37" i="7" s="1"/>
  <c r="M37" i="7"/>
  <c r="K40" i="7"/>
  <c r="J17" i="5"/>
  <c r="G17" i="5"/>
  <c r="O17" i="5" s="1"/>
  <c r="P17" i="5" s="1"/>
  <c r="J31" i="4"/>
  <c r="J36" i="4"/>
  <c r="M17" i="3"/>
  <c r="N17" i="3" s="1"/>
  <c r="K17" i="3"/>
  <c r="I17" i="3"/>
  <c r="K26" i="1"/>
  <c r="I26" i="1"/>
  <c r="M26" i="1"/>
  <c r="N26" i="1" s="1"/>
  <c r="O16" i="5"/>
  <c r="P16" i="5" s="1"/>
  <c r="F19" i="6"/>
  <c r="G19" i="6" s="1"/>
  <c r="H19" i="6"/>
  <c r="C19" i="6"/>
  <c r="D20" i="6"/>
  <c r="K17" i="2"/>
  <c r="M17" i="2"/>
  <c r="N17" i="2" s="1"/>
  <c r="I17" i="2"/>
  <c r="L18" i="3"/>
  <c r="J18" i="3"/>
  <c r="O32" i="7"/>
  <c r="P32" i="7" s="1"/>
  <c r="D44" i="6"/>
  <c r="L23" i="7"/>
  <c r="N23" i="7"/>
  <c r="L43" i="7"/>
  <c r="N43" i="7"/>
  <c r="K43" i="7"/>
  <c r="O43" i="7"/>
  <c r="P43" i="7" s="1"/>
  <c r="M43" i="7"/>
  <c r="J41" i="4"/>
  <c r="M21" i="4"/>
  <c r="O21" i="4"/>
  <c r="P21" i="4" s="1"/>
  <c r="K21" i="4"/>
  <c r="L18" i="1"/>
  <c r="J18" i="1"/>
  <c r="M20" i="7"/>
  <c r="O20" i="7"/>
  <c r="P20" i="7" s="1"/>
  <c r="K20" i="7"/>
  <c r="K26" i="2"/>
  <c r="M26" i="2"/>
  <c r="N26" i="2" s="1"/>
  <c r="I26" i="2"/>
  <c r="K17" i="1"/>
  <c r="I17" i="1"/>
  <c r="M17" i="1"/>
  <c r="N17" i="1" s="1"/>
  <c r="L18" i="2"/>
  <c r="J18" i="2"/>
  <c r="L41" i="4" l="1"/>
  <c r="N41" i="4"/>
  <c r="D45" i="6"/>
  <c r="L36" i="4"/>
  <c r="N36" i="4"/>
  <c r="E41" i="6"/>
  <c r="F41" i="6" s="1"/>
  <c r="F36" i="6"/>
  <c r="C21" i="1"/>
  <c r="D22" i="1"/>
  <c r="H21" i="1"/>
  <c r="G21" i="1"/>
  <c r="F21" i="1"/>
  <c r="E21" i="1"/>
  <c r="M19" i="3"/>
  <c r="N19" i="3" s="1"/>
  <c r="K19" i="3"/>
  <c r="I19" i="3"/>
  <c r="S27" i="3"/>
  <c r="H35" i="6"/>
  <c r="J30" i="2"/>
  <c r="L30" i="2"/>
  <c r="N18" i="5"/>
  <c r="L18" i="5"/>
  <c r="L22" i="5"/>
  <c r="N22" i="5"/>
  <c r="H22" i="4"/>
  <c r="G22" i="4"/>
  <c r="J22" i="4"/>
  <c r="I22" i="4"/>
  <c r="L26" i="5"/>
  <c r="N26" i="5"/>
  <c r="E28" i="4"/>
  <c r="F23" i="4"/>
  <c r="L31" i="4"/>
  <c r="N31" i="4"/>
  <c r="F30" i="6"/>
  <c r="H30" i="6" s="1"/>
  <c r="G30" i="6"/>
  <c r="I18" i="4"/>
  <c r="G18" i="4"/>
  <c r="H18" i="4"/>
  <c r="J18" i="4"/>
  <c r="F40" i="6"/>
  <c r="M22" i="5"/>
  <c r="K22" i="5"/>
  <c r="O22" i="5"/>
  <c r="P22" i="5" s="1"/>
  <c r="I20" i="1"/>
  <c r="M20" i="1"/>
  <c r="N20" i="1" s="1"/>
  <c r="K20" i="1"/>
  <c r="D40" i="4"/>
  <c r="K21" i="5"/>
  <c r="G28" i="6"/>
  <c r="H28" i="6"/>
  <c r="O36" i="4"/>
  <c r="P36" i="4" s="1"/>
  <c r="H27" i="6"/>
  <c r="G27" i="6"/>
  <c r="F31" i="2"/>
  <c r="D32" i="2"/>
  <c r="H31" i="2"/>
  <c r="G31" i="2"/>
  <c r="E31" i="2"/>
  <c r="N16" i="4"/>
  <c r="L16" i="4"/>
  <c r="O16" i="4"/>
  <c r="P16" i="4" s="1"/>
  <c r="M21" i="5"/>
  <c r="D20" i="5"/>
  <c r="C19" i="5"/>
  <c r="F19" i="5"/>
  <c r="I19" i="5"/>
  <c r="H19" i="5"/>
  <c r="G19" i="5"/>
  <c r="J19" i="5"/>
  <c r="M17" i="5"/>
  <c r="E39" i="6"/>
  <c r="F34" i="6"/>
  <c r="O26" i="5"/>
  <c r="P26" i="5" s="1"/>
  <c r="M26" i="5"/>
  <c r="K26" i="5"/>
  <c r="H27" i="5"/>
  <c r="I27" i="5"/>
  <c r="G27" i="5"/>
  <c r="F27" i="5"/>
  <c r="J27" i="5" s="1"/>
  <c r="D28" i="5"/>
  <c r="D35" i="4"/>
  <c r="E38" i="6"/>
  <c r="F33" i="6"/>
  <c r="I19" i="2"/>
  <c r="M19" i="2"/>
  <c r="N19" i="2" s="1"/>
  <c r="K19" i="2"/>
  <c r="E37" i="6"/>
  <c r="F32" i="6"/>
  <c r="G23" i="6"/>
  <c r="D30" i="4"/>
  <c r="L20" i="1"/>
  <c r="J20" i="1"/>
  <c r="O41" i="4"/>
  <c r="P41" i="4" s="1"/>
  <c r="H29" i="1"/>
  <c r="D30" i="1"/>
  <c r="E29" i="1"/>
  <c r="G29" i="1"/>
  <c r="F29" i="1"/>
  <c r="E20" i="4"/>
  <c r="E24" i="4"/>
  <c r="F19" i="4"/>
  <c r="C22" i="4"/>
  <c r="G29" i="6"/>
  <c r="G35" i="6"/>
  <c r="L17" i="4"/>
  <c r="N17" i="4"/>
  <c r="K18" i="5"/>
  <c r="O18" i="5"/>
  <c r="P18" i="5" s="1"/>
  <c r="M18" i="5"/>
  <c r="H23" i="6"/>
  <c r="C21" i="6"/>
  <c r="L19" i="2"/>
  <c r="J19" i="2"/>
  <c r="H31" i="5"/>
  <c r="I31" i="5"/>
  <c r="G31" i="5"/>
  <c r="D32" i="5"/>
  <c r="D36" i="5"/>
  <c r="F31" i="5"/>
  <c r="J31" i="5" s="1"/>
  <c r="H29" i="6"/>
  <c r="O17" i="4"/>
  <c r="P17" i="4" s="1"/>
  <c r="M30" i="2"/>
  <c r="N30" i="2" s="1"/>
  <c r="K30" i="2"/>
  <c r="I30" i="2"/>
  <c r="D25" i="6"/>
  <c r="F24" i="6"/>
  <c r="S30" i="6" s="1"/>
  <c r="N17" i="5"/>
  <c r="L17" i="5"/>
  <c r="D21" i="3"/>
  <c r="C20" i="3"/>
  <c r="E20" i="3"/>
  <c r="F20" i="3"/>
  <c r="H20" i="3"/>
  <c r="G20" i="3"/>
  <c r="E32" i="4"/>
  <c r="F27" i="4"/>
  <c r="F20" i="6"/>
  <c r="H20" i="6"/>
  <c r="G20" i="6"/>
  <c r="C20" i="6"/>
  <c r="C22" i="6" s="1"/>
  <c r="H20" i="2"/>
  <c r="C20" i="2"/>
  <c r="D21" i="2"/>
  <c r="F20" i="2"/>
  <c r="E20" i="2"/>
  <c r="G20" i="2"/>
  <c r="H31" i="6"/>
  <c r="G31" i="6"/>
  <c r="M31" i="4"/>
  <c r="K31" i="4"/>
  <c r="O31" i="4"/>
  <c r="P31" i="4" s="1"/>
  <c r="G23" i="5"/>
  <c r="F23" i="5"/>
  <c r="I23" i="5"/>
  <c r="H23" i="5"/>
  <c r="D24" i="5"/>
  <c r="J23" i="5"/>
  <c r="N21" i="4"/>
  <c r="L21" i="4"/>
  <c r="L31" i="5" l="1"/>
  <c r="N31" i="5"/>
  <c r="L27" i="5"/>
  <c r="N27" i="5"/>
  <c r="J20" i="3"/>
  <c r="L20" i="3"/>
  <c r="D33" i="5"/>
  <c r="F32" i="5"/>
  <c r="I32" i="5" s="1"/>
  <c r="G32" i="5"/>
  <c r="H32" i="5"/>
  <c r="E33" i="4"/>
  <c r="F28" i="4"/>
  <c r="M21" i="1"/>
  <c r="N21" i="1" s="1"/>
  <c r="K21" i="1"/>
  <c r="I21" i="1"/>
  <c r="L19" i="5"/>
  <c r="N19" i="5"/>
  <c r="H30" i="1"/>
  <c r="F30" i="1"/>
  <c r="D31" i="1"/>
  <c r="E30" i="1"/>
  <c r="G30" i="1"/>
  <c r="L21" i="1"/>
  <c r="J21" i="1"/>
  <c r="K31" i="2"/>
  <c r="M31" i="2"/>
  <c r="N31" i="2" s="1"/>
  <c r="I31" i="2"/>
  <c r="F45" i="6"/>
  <c r="G45" i="6" s="1"/>
  <c r="H45" i="6"/>
  <c r="G32" i="6"/>
  <c r="H32" i="6"/>
  <c r="M19" i="5"/>
  <c r="O19" i="5"/>
  <c r="P19" i="5" s="1"/>
  <c r="K19" i="5"/>
  <c r="H32" i="2"/>
  <c r="F32" i="2"/>
  <c r="E32" i="2"/>
  <c r="G32" i="2"/>
  <c r="D33" i="2"/>
  <c r="H40" i="6"/>
  <c r="M22" i="4"/>
  <c r="K22" i="4"/>
  <c r="O22" i="4"/>
  <c r="P22" i="4" s="1"/>
  <c r="H36" i="6"/>
  <c r="G36" i="6"/>
  <c r="H41" i="6"/>
  <c r="G41" i="6"/>
  <c r="M20" i="2"/>
  <c r="N20" i="2" s="1"/>
  <c r="K20" i="2"/>
  <c r="I20" i="2"/>
  <c r="H24" i="6"/>
  <c r="H19" i="4"/>
  <c r="G19" i="4"/>
  <c r="J19" i="4"/>
  <c r="I19" i="4"/>
  <c r="I28" i="5"/>
  <c r="D29" i="5"/>
  <c r="H28" i="5"/>
  <c r="J28" i="5"/>
  <c r="G28" i="5"/>
  <c r="F28" i="5"/>
  <c r="S30" i="5" s="1"/>
  <c r="C20" i="5"/>
  <c r="F20" i="5"/>
  <c r="G20" i="5" s="1"/>
  <c r="J20" i="5"/>
  <c r="H20" i="5"/>
  <c r="L29" i="1"/>
  <c r="J29" i="1"/>
  <c r="L31" i="2"/>
  <c r="J31" i="2"/>
  <c r="G40" i="6"/>
  <c r="F21" i="3"/>
  <c r="E21" i="3"/>
  <c r="C21" i="3"/>
  <c r="H21" i="3"/>
  <c r="G21" i="3"/>
  <c r="D22" i="3"/>
  <c r="U27" i="3"/>
  <c r="T27" i="3"/>
  <c r="O23" i="5"/>
  <c r="P23" i="5" s="1"/>
  <c r="M23" i="5"/>
  <c r="K23" i="5"/>
  <c r="E42" i="6"/>
  <c r="F42" i="6" s="1"/>
  <c r="F37" i="6"/>
  <c r="N22" i="4"/>
  <c r="L22" i="4"/>
  <c r="H27" i="4"/>
  <c r="G27" i="4"/>
  <c r="I27" i="4"/>
  <c r="J27" i="4"/>
  <c r="E29" i="4"/>
  <c r="F24" i="4"/>
  <c r="N18" i="4"/>
  <c r="L18" i="4"/>
  <c r="J24" i="5"/>
  <c r="D25" i="5"/>
  <c r="F24" i="5"/>
  <c r="H24" i="5" s="1"/>
  <c r="I24" i="5"/>
  <c r="G24" i="5"/>
  <c r="T32" i="6" a="1"/>
  <c r="T32" i="6" s="1"/>
  <c r="C23" i="4"/>
  <c r="N23" i="5"/>
  <c r="L23" i="5"/>
  <c r="O31" i="5"/>
  <c r="P31" i="5" s="1"/>
  <c r="K31" i="5"/>
  <c r="M31" i="5"/>
  <c r="D23" i="1"/>
  <c r="E22" i="1"/>
  <c r="C22" i="1"/>
  <c r="G22" i="1"/>
  <c r="F22" i="1"/>
  <c r="H22" i="1"/>
  <c r="H21" i="2"/>
  <c r="G21" i="2"/>
  <c r="D22" i="2"/>
  <c r="F21" i="2"/>
  <c r="E21" i="2"/>
  <c r="C21" i="2"/>
  <c r="E37" i="4"/>
  <c r="F32" i="4"/>
  <c r="E25" i="4"/>
  <c r="F20" i="4"/>
  <c r="C23" i="6"/>
  <c r="G25" i="6"/>
  <c r="F25" i="6"/>
  <c r="H25" i="6"/>
  <c r="J36" i="5"/>
  <c r="I36" i="5"/>
  <c r="H36" i="5"/>
  <c r="D41" i="5"/>
  <c r="D37" i="5"/>
  <c r="G36" i="5"/>
  <c r="F36" i="5"/>
  <c r="G33" i="6"/>
  <c r="H33" i="6"/>
  <c r="K27" i="5"/>
  <c r="M27" i="5"/>
  <c r="O27" i="5"/>
  <c r="P27" i="5" s="1"/>
  <c r="G34" i="6"/>
  <c r="H34" i="6"/>
  <c r="L20" i="2"/>
  <c r="J20" i="2"/>
  <c r="I20" i="3"/>
  <c r="K20" i="3"/>
  <c r="M20" i="3"/>
  <c r="N20" i="3" s="1"/>
  <c r="G24" i="6"/>
  <c r="I29" i="1"/>
  <c r="K29" i="1"/>
  <c r="M29" i="1"/>
  <c r="N29" i="1" s="1"/>
  <c r="E43" i="6"/>
  <c r="F43" i="6" s="1"/>
  <c r="F38" i="6"/>
  <c r="E44" i="6"/>
  <c r="F44" i="6" s="1"/>
  <c r="F39" i="6"/>
  <c r="O18" i="4"/>
  <c r="P18" i="4" s="1"/>
  <c r="M18" i="4"/>
  <c r="K18" i="4"/>
  <c r="S23" i="4"/>
  <c r="H23" i="4"/>
  <c r="I23" i="4"/>
  <c r="G23" i="4"/>
  <c r="J23" i="4"/>
  <c r="M32" i="5" l="1"/>
  <c r="K32" i="5"/>
  <c r="O23" i="4"/>
  <c r="P23" i="4" s="1"/>
  <c r="M23" i="4"/>
  <c r="K23" i="4"/>
  <c r="L21" i="2"/>
  <c r="J21" i="2"/>
  <c r="H20" i="4"/>
  <c r="J20" i="4"/>
  <c r="I20" i="4"/>
  <c r="G20" i="4"/>
  <c r="C22" i="3"/>
  <c r="H22" i="3"/>
  <c r="G22" i="3"/>
  <c r="F22" i="3"/>
  <c r="E22" i="3"/>
  <c r="D23" i="3"/>
  <c r="D42" i="5"/>
  <c r="F41" i="5"/>
  <c r="I41" i="5" s="1"/>
  <c r="J22" i="1"/>
  <c r="L22" i="1"/>
  <c r="E30" i="4"/>
  <c r="F25" i="4"/>
  <c r="K22" i="1"/>
  <c r="I22" i="1"/>
  <c r="M22" i="1"/>
  <c r="N22" i="1" s="1"/>
  <c r="E34" i="4"/>
  <c r="F29" i="4"/>
  <c r="C24" i="4"/>
  <c r="L32" i="2"/>
  <c r="J32" i="2"/>
  <c r="U25" i="4" a="1"/>
  <c r="U25" i="4" s="1"/>
  <c r="T25" i="4" a="1"/>
  <c r="T25" i="4" s="1"/>
  <c r="M21" i="3"/>
  <c r="N21" i="3" s="1"/>
  <c r="K21" i="3"/>
  <c r="I21" i="3"/>
  <c r="I32" i="4"/>
  <c r="H32" i="4"/>
  <c r="G32" i="4"/>
  <c r="J32" i="4"/>
  <c r="J21" i="3"/>
  <c r="L21" i="3"/>
  <c r="N19" i="4"/>
  <c r="L19" i="4"/>
  <c r="H42" i="6"/>
  <c r="G42" i="6"/>
  <c r="J32" i="5"/>
  <c r="H39" i="6"/>
  <c r="G39" i="6"/>
  <c r="C21" i="5"/>
  <c r="H33" i="2"/>
  <c r="F33" i="2"/>
  <c r="G33" i="2"/>
  <c r="E33" i="2"/>
  <c r="D34" i="2"/>
  <c r="F33" i="5"/>
  <c r="J33" i="5" s="1"/>
  <c r="D34" i="5"/>
  <c r="C24" i="6"/>
  <c r="M36" i="5"/>
  <c r="O36" i="5"/>
  <c r="P36" i="5" s="1"/>
  <c r="K36" i="5"/>
  <c r="H37" i="6"/>
  <c r="G37" i="6"/>
  <c r="M30" i="1"/>
  <c r="N30" i="1" s="1"/>
  <c r="K30" i="1"/>
  <c r="I30" i="1"/>
  <c r="H23" i="1"/>
  <c r="D24" i="1"/>
  <c r="C23" i="1"/>
  <c r="G23" i="1"/>
  <c r="E23" i="1"/>
  <c r="F23" i="1"/>
  <c r="H44" i="6"/>
  <c r="G44" i="6"/>
  <c r="L27" i="4"/>
  <c r="N27" i="4"/>
  <c r="I20" i="5"/>
  <c r="K32" i="2"/>
  <c r="M32" i="2"/>
  <c r="N32" i="2" s="1"/>
  <c r="I32" i="2"/>
  <c r="D32" i="1"/>
  <c r="H31" i="1"/>
  <c r="F31" i="1"/>
  <c r="E31" i="1"/>
  <c r="G31" i="1"/>
  <c r="O28" i="5"/>
  <c r="P28" i="5" s="1"/>
  <c r="M28" i="5"/>
  <c r="K28" i="5"/>
  <c r="L20" i="5"/>
  <c r="N20" i="5"/>
  <c r="M19" i="4"/>
  <c r="O19" i="4"/>
  <c r="P19" i="4" s="1"/>
  <c r="K19" i="4"/>
  <c r="J28" i="4"/>
  <c r="H28" i="4"/>
  <c r="I28" i="4"/>
  <c r="G28" i="4"/>
  <c r="M24" i="5"/>
  <c r="O24" i="5"/>
  <c r="P24" i="5" s="1"/>
  <c r="K24" i="5"/>
  <c r="G38" i="6"/>
  <c r="H38" i="6"/>
  <c r="I25" i="5"/>
  <c r="H25" i="5"/>
  <c r="F25" i="5"/>
  <c r="G25" i="5" s="1"/>
  <c r="O27" i="4"/>
  <c r="P27" i="4" s="1"/>
  <c r="K27" i="4"/>
  <c r="M27" i="4"/>
  <c r="U32" i="5" a="1"/>
  <c r="U32" i="5" s="1"/>
  <c r="T32" i="5" a="1"/>
  <c r="T32" i="5" s="1"/>
  <c r="H24" i="4"/>
  <c r="G24" i="4"/>
  <c r="I24" i="4"/>
  <c r="J24" i="4"/>
  <c r="D30" i="5"/>
  <c r="F29" i="5"/>
  <c r="H29" i="5" s="1"/>
  <c r="N36" i="5"/>
  <c r="L36" i="5"/>
  <c r="E42" i="4"/>
  <c r="F42" i="4" s="1"/>
  <c r="F37" i="4"/>
  <c r="E38" i="4"/>
  <c r="F33" i="4"/>
  <c r="L23" i="4"/>
  <c r="N23" i="4"/>
  <c r="G43" i="6"/>
  <c r="H43" i="6"/>
  <c r="H22" i="2"/>
  <c r="F22" i="2"/>
  <c r="G22" i="2"/>
  <c r="E22" i="2"/>
  <c r="D23" i="2"/>
  <c r="C22" i="2"/>
  <c r="N24" i="5"/>
  <c r="L24" i="5"/>
  <c r="J30" i="1"/>
  <c r="L30" i="1"/>
  <c r="H37" i="5"/>
  <c r="I37" i="5"/>
  <c r="D38" i="5"/>
  <c r="J37" i="5"/>
  <c r="G37" i="5"/>
  <c r="F37" i="5"/>
  <c r="I21" i="2"/>
  <c r="M21" i="2"/>
  <c r="N21" i="2" s="1"/>
  <c r="K21" i="2"/>
  <c r="N28" i="5"/>
  <c r="L28" i="5"/>
  <c r="J33" i="4" l="1"/>
  <c r="I33" i="4"/>
  <c r="G33" i="4"/>
  <c r="H33" i="4"/>
  <c r="G29" i="5"/>
  <c r="J29" i="5"/>
  <c r="O28" i="4"/>
  <c r="P28" i="4" s="1"/>
  <c r="K28" i="4"/>
  <c r="M28" i="4"/>
  <c r="F30" i="5"/>
  <c r="I30" i="5" s="1"/>
  <c r="M23" i="1"/>
  <c r="N23" i="1" s="1"/>
  <c r="K23" i="1"/>
  <c r="I23" i="1"/>
  <c r="F23" i="3"/>
  <c r="G23" i="3"/>
  <c r="E23" i="3"/>
  <c r="C23" i="3"/>
  <c r="D24" i="3"/>
  <c r="H23" i="3"/>
  <c r="N28" i="4"/>
  <c r="L28" i="4"/>
  <c r="K24" i="4"/>
  <c r="O24" i="4"/>
  <c r="P24" i="4" s="1"/>
  <c r="M24" i="4"/>
  <c r="D25" i="1"/>
  <c r="C24" i="1"/>
  <c r="G24" i="1"/>
  <c r="F24" i="1"/>
  <c r="H24" i="1"/>
  <c r="E24" i="1"/>
  <c r="H34" i="2"/>
  <c r="F34" i="2"/>
  <c r="G34" i="2"/>
  <c r="E34" i="2"/>
  <c r="G29" i="4"/>
  <c r="J29" i="4"/>
  <c r="H29" i="4"/>
  <c r="I29" i="4"/>
  <c r="G41" i="5"/>
  <c r="M41" i="5" s="1"/>
  <c r="I22" i="3"/>
  <c r="M22" i="3"/>
  <c r="N22" i="3" s="1"/>
  <c r="K22" i="3"/>
  <c r="C22" i="5"/>
  <c r="O25" i="5"/>
  <c r="P25" i="5" s="1"/>
  <c r="M25" i="5"/>
  <c r="K25" i="5"/>
  <c r="M20" i="5"/>
  <c r="K20" i="5"/>
  <c r="O20" i="5"/>
  <c r="P20" i="5" s="1"/>
  <c r="W32" i="5"/>
  <c r="V32" i="5"/>
  <c r="L23" i="1"/>
  <c r="J23" i="1"/>
  <c r="V25" i="4"/>
  <c r="W25" i="4"/>
  <c r="E39" i="4"/>
  <c r="F34" i="4"/>
  <c r="J41" i="5"/>
  <c r="L22" i="3"/>
  <c r="J22" i="3"/>
  <c r="D39" i="5"/>
  <c r="F38" i="5"/>
  <c r="H38" i="5"/>
  <c r="J38" i="5"/>
  <c r="I38" i="5"/>
  <c r="G38" i="5"/>
  <c r="E43" i="4"/>
  <c r="F43" i="4" s="1"/>
  <c r="F38" i="4"/>
  <c r="O32" i="4"/>
  <c r="P32" i="4" s="1"/>
  <c r="K32" i="4"/>
  <c r="M32" i="4"/>
  <c r="M37" i="5"/>
  <c r="O37" i="5"/>
  <c r="P37" i="5" s="1"/>
  <c r="K37" i="5"/>
  <c r="H42" i="4"/>
  <c r="G42" i="4"/>
  <c r="I42" i="4"/>
  <c r="J42" i="4"/>
  <c r="L22" i="2"/>
  <c r="J22" i="2"/>
  <c r="K33" i="2"/>
  <c r="I33" i="2"/>
  <c r="M33" i="2"/>
  <c r="N33" i="2" s="1"/>
  <c r="J25" i="5"/>
  <c r="D33" i="1"/>
  <c r="H32" i="1"/>
  <c r="G32" i="1"/>
  <c r="E32" i="1"/>
  <c r="F32" i="1"/>
  <c r="I33" i="5"/>
  <c r="D43" i="5"/>
  <c r="F42" i="5"/>
  <c r="J42" i="5" s="1"/>
  <c r="I42" i="5"/>
  <c r="H42" i="5"/>
  <c r="G42" i="5"/>
  <c r="C25" i="4"/>
  <c r="L37" i="5"/>
  <c r="N37" i="5"/>
  <c r="I37" i="4"/>
  <c r="G37" i="4"/>
  <c r="H37" i="4"/>
  <c r="J37" i="4"/>
  <c r="L24" i="4"/>
  <c r="N24" i="4"/>
  <c r="H33" i="5"/>
  <c r="L33" i="5" s="1"/>
  <c r="I29" i="5"/>
  <c r="G33" i="5"/>
  <c r="J33" i="2"/>
  <c r="L33" i="2"/>
  <c r="H41" i="5"/>
  <c r="C25" i="6"/>
  <c r="O20" i="4"/>
  <c r="P20" i="4" s="1"/>
  <c r="M20" i="4"/>
  <c r="K20" i="4"/>
  <c r="E35" i="4"/>
  <c r="F30" i="4"/>
  <c r="F23" i="2"/>
  <c r="E23" i="2"/>
  <c r="D24" i="2"/>
  <c r="H23" i="2"/>
  <c r="G23" i="2"/>
  <c r="C23" i="2"/>
  <c r="K31" i="1"/>
  <c r="M31" i="1"/>
  <c r="N31" i="1" s="1"/>
  <c r="I31" i="1"/>
  <c r="I22" i="2"/>
  <c r="M22" i="2"/>
  <c r="N22" i="2" s="1"/>
  <c r="K22" i="2"/>
  <c r="L31" i="1"/>
  <c r="J31" i="1"/>
  <c r="F34" i="5"/>
  <c r="I34" i="5" s="1"/>
  <c r="D35" i="5"/>
  <c r="J34" i="5"/>
  <c r="L32" i="5"/>
  <c r="N32" i="5"/>
  <c r="L32" i="4"/>
  <c r="N32" i="4"/>
  <c r="H25" i="4"/>
  <c r="I25" i="4"/>
  <c r="G25" i="4"/>
  <c r="J25" i="4"/>
  <c r="N20" i="4"/>
  <c r="L20" i="4"/>
  <c r="O32" i="5"/>
  <c r="P32" i="5" s="1"/>
  <c r="K34" i="5" l="1"/>
  <c r="M34" i="5"/>
  <c r="N42" i="5"/>
  <c r="L42" i="5"/>
  <c r="L32" i="1"/>
  <c r="J32" i="1"/>
  <c r="G30" i="5"/>
  <c r="K30" i="5" s="1"/>
  <c r="L38" i="5"/>
  <c r="N38" i="5"/>
  <c r="N33" i="4"/>
  <c r="L33" i="4"/>
  <c r="N37" i="4"/>
  <c r="L37" i="4"/>
  <c r="M42" i="4"/>
  <c r="K42" i="4"/>
  <c r="O42" i="4"/>
  <c r="P42" i="4" s="1"/>
  <c r="G34" i="5"/>
  <c r="J30" i="5"/>
  <c r="N33" i="5"/>
  <c r="F43" i="5"/>
  <c r="H43" i="5" s="1"/>
  <c r="D44" i="5"/>
  <c r="C25" i="1"/>
  <c r="H25" i="1"/>
  <c r="F25" i="1"/>
  <c r="G25" i="1"/>
  <c r="E25" i="1"/>
  <c r="R27" i="1" s="1"/>
  <c r="J35" i="5"/>
  <c r="F35" i="5"/>
  <c r="G35" i="5" s="1"/>
  <c r="H35" i="5"/>
  <c r="L24" i="1"/>
  <c r="J24" i="1"/>
  <c r="H30" i="5"/>
  <c r="N29" i="4"/>
  <c r="L29" i="4"/>
  <c r="C24" i="3"/>
  <c r="D25" i="3"/>
  <c r="H24" i="3"/>
  <c r="G24" i="3"/>
  <c r="F24" i="3"/>
  <c r="E24" i="3"/>
  <c r="M37" i="4"/>
  <c r="O37" i="4"/>
  <c r="P37" i="4" s="1"/>
  <c r="K37" i="4"/>
  <c r="K34" i="2"/>
  <c r="M34" i="2"/>
  <c r="N34" i="2" s="1"/>
  <c r="I34" i="2"/>
  <c r="K38" i="5"/>
  <c r="O38" i="5"/>
  <c r="P38" i="5" s="1"/>
  <c r="M38" i="5"/>
  <c r="M33" i="4"/>
  <c r="K33" i="4"/>
  <c r="O33" i="4"/>
  <c r="P33" i="4" s="1"/>
  <c r="F39" i="5"/>
  <c r="J39" i="5" s="1"/>
  <c r="D40" i="5"/>
  <c r="E40" i="4"/>
  <c r="F35" i="4"/>
  <c r="O33" i="5"/>
  <c r="P33" i="5" s="1"/>
  <c r="M33" i="5"/>
  <c r="K33" i="5"/>
  <c r="D34" i="1"/>
  <c r="H33" i="1"/>
  <c r="E33" i="1"/>
  <c r="F33" i="1"/>
  <c r="G33" i="1"/>
  <c r="M29" i="4"/>
  <c r="O29" i="4"/>
  <c r="P29" i="4" s="1"/>
  <c r="K29" i="4"/>
  <c r="N25" i="4"/>
  <c r="L25" i="4"/>
  <c r="I23" i="2"/>
  <c r="M23" i="2"/>
  <c r="N23" i="2" s="1"/>
  <c r="K23" i="2"/>
  <c r="J23" i="2"/>
  <c r="L23" i="2"/>
  <c r="H34" i="5"/>
  <c r="O34" i="5" s="1"/>
  <c r="P34" i="5" s="1"/>
  <c r="E24" i="2"/>
  <c r="C24" i="2"/>
  <c r="H24" i="2"/>
  <c r="G24" i="2"/>
  <c r="F24" i="2"/>
  <c r="D25" i="2"/>
  <c r="J30" i="4"/>
  <c r="H30" i="4"/>
  <c r="I30" i="4"/>
  <c r="G30" i="4"/>
  <c r="L41" i="5"/>
  <c r="N41" i="5"/>
  <c r="L34" i="2"/>
  <c r="J34" i="2"/>
  <c r="L29" i="5"/>
  <c r="N29" i="5"/>
  <c r="K41" i="5"/>
  <c r="L23" i="3"/>
  <c r="J23" i="3"/>
  <c r="C26" i="6"/>
  <c r="C27" i="6"/>
  <c r="C28" i="6" s="1"/>
  <c r="C29" i="6" s="1"/>
  <c r="C30" i="6"/>
  <c r="N25" i="5"/>
  <c r="L25" i="5"/>
  <c r="C23" i="5"/>
  <c r="C24" i="5" s="1"/>
  <c r="M29" i="5"/>
  <c r="O29" i="5"/>
  <c r="P29" i="5" s="1"/>
  <c r="K29" i="5"/>
  <c r="G38" i="4"/>
  <c r="I38" i="4"/>
  <c r="H38" i="4"/>
  <c r="J38" i="4"/>
  <c r="I34" i="4"/>
  <c r="G34" i="4"/>
  <c r="J34" i="4"/>
  <c r="H34" i="4"/>
  <c r="N34" i="5"/>
  <c r="L34" i="5"/>
  <c r="N42" i="4"/>
  <c r="L42" i="4"/>
  <c r="K42" i="5"/>
  <c r="O42" i="5"/>
  <c r="P42" i="5" s="1"/>
  <c r="M42" i="5"/>
  <c r="M24" i="1"/>
  <c r="N24" i="1" s="1"/>
  <c r="I24" i="1"/>
  <c r="K24" i="1"/>
  <c r="M25" i="4"/>
  <c r="K25" i="4"/>
  <c r="O25" i="4"/>
  <c r="P25" i="4" s="1"/>
  <c r="K23" i="3"/>
  <c r="M23" i="3"/>
  <c r="N23" i="3" s="1"/>
  <c r="I23" i="3"/>
  <c r="C26" i="4"/>
  <c r="C27" i="4"/>
  <c r="C28" i="4" s="1"/>
  <c r="K32" i="1"/>
  <c r="I32" i="1"/>
  <c r="M32" i="1"/>
  <c r="N32" i="1" s="1"/>
  <c r="H43" i="4"/>
  <c r="G43" i="4"/>
  <c r="I43" i="4"/>
  <c r="J43" i="4"/>
  <c r="E44" i="4"/>
  <c r="F44" i="4" s="1"/>
  <c r="F39" i="4"/>
  <c r="O41" i="5"/>
  <c r="P41" i="5" s="1"/>
  <c r="J39" i="4" l="1"/>
  <c r="H39" i="4"/>
  <c r="I39" i="4"/>
  <c r="G39" i="4"/>
  <c r="I44" i="4"/>
  <c r="H44" i="4"/>
  <c r="J44" i="4"/>
  <c r="G44" i="4"/>
  <c r="M30" i="4"/>
  <c r="O30" i="4"/>
  <c r="P30" i="4" s="1"/>
  <c r="K30" i="4"/>
  <c r="L33" i="1"/>
  <c r="J33" i="1"/>
  <c r="I39" i="5"/>
  <c r="K24" i="3"/>
  <c r="M24" i="3"/>
  <c r="N24" i="3" s="1"/>
  <c r="I24" i="3"/>
  <c r="G43" i="5"/>
  <c r="N43" i="4"/>
  <c r="L43" i="4"/>
  <c r="K34" i="4"/>
  <c r="O34" i="4"/>
  <c r="P34" i="4" s="1"/>
  <c r="M34" i="4"/>
  <c r="H34" i="1"/>
  <c r="E34" i="1"/>
  <c r="F34" i="1"/>
  <c r="G34" i="1"/>
  <c r="S27" i="1"/>
  <c r="L24" i="3"/>
  <c r="J24" i="3"/>
  <c r="I35" i="5"/>
  <c r="D45" i="5"/>
  <c r="F44" i="5"/>
  <c r="J44" i="5"/>
  <c r="I44" i="5"/>
  <c r="H44" i="5"/>
  <c r="G44" i="5"/>
  <c r="F40" i="5"/>
  <c r="I40" i="5" s="1"/>
  <c r="G40" i="5"/>
  <c r="H39" i="5"/>
  <c r="N39" i="5" s="1"/>
  <c r="O38" i="4"/>
  <c r="P38" i="4" s="1"/>
  <c r="M38" i="4"/>
  <c r="K38" i="4"/>
  <c r="G25" i="2"/>
  <c r="H25" i="2"/>
  <c r="F25" i="2"/>
  <c r="E25" i="2"/>
  <c r="C25" i="2"/>
  <c r="R30" i="2"/>
  <c r="S30" i="2"/>
  <c r="G39" i="5"/>
  <c r="I43" i="5"/>
  <c r="L30" i="4"/>
  <c r="N30" i="4"/>
  <c r="E25" i="3"/>
  <c r="C25" i="3"/>
  <c r="D26" i="3"/>
  <c r="F25" i="3"/>
  <c r="G25" i="3"/>
  <c r="H25" i="3"/>
  <c r="J43" i="5"/>
  <c r="M24" i="2"/>
  <c r="N24" i="2" s="1"/>
  <c r="I24" i="2"/>
  <c r="K24" i="2"/>
  <c r="M25" i="1"/>
  <c r="N25" i="1" s="1"/>
  <c r="K25" i="1"/>
  <c r="I25" i="1"/>
  <c r="C31" i="6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L24" i="2"/>
  <c r="J24" i="2"/>
  <c r="N34" i="4"/>
  <c r="L34" i="4"/>
  <c r="M43" i="4"/>
  <c r="O43" i="4"/>
  <c r="P43" i="4" s="1"/>
  <c r="K43" i="4"/>
  <c r="L35" i="5"/>
  <c r="N35" i="5"/>
  <c r="H35" i="4"/>
  <c r="I35" i="4"/>
  <c r="J35" i="4"/>
  <c r="G35" i="4"/>
  <c r="C26" i="5"/>
  <c r="J25" i="1"/>
  <c r="L25" i="1"/>
  <c r="M30" i="5"/>
  <c r="M33" i="1"/>
  <c r="N33" i="1" s="1"/>
  <c r="K33" i="1"/>
  <c r="I33" i="1"/>
  <c r="E45" i="4"/>
  <c r="F45" i="4" s="1"/>
  <c r="F40" i="4"/>
  <c r="C26" i="1"/>
  <c r="N30" i="5"/>
  <c r="L30" i="5"/>
  <c r="L38" i="4"/>
  <c r="N38" i="4"/>
  <c r="C29" i="4"/>
  <c r="C25" i="5"/>
  <c r="O30" i="5"/>
  <c r="P30" i="5" s="1"/>
  <c r="K40" i="5" l="1"/>
  <c r="M40" i="5"/>
  <c r="L25" i="3"/>
  <c r="J25" i="3"/>
  <c r="H40" i="5"/>
  <c r="U30" i="2"/>
  <c r="T30" i="2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27" i="1"/>
  <c r="J25" i="2"/>
  <c r="L25" i="2"/>
  <c r="I34" i="1"/>
  <c r="M34" i="1"/>
  <c r="N34" i="1" s="1"/>
  <c r="K34" i="1"/>
  <c r="N43" i="5"/>
  <c r="L43" i="5"/>
  <c r="C27" i="5"/>
  <c r="J40" i="5"/>
  <c r="O40" i="5" s="1"/>
  <c r="P40" i="5" s="1"/>
  <c r="C30" i="4"/>
  <c r="C31" i="4" s="1"/>
  <c r="C32" i="4" s="1"/>
  <c r="C33" i="4" s="1"/>
  <c r="O35" i="4"/>
  <c r="P35" i="4" s="1"/>
  <c r="M35" i="4"/>
  <c r="K35" i="4"/>
  <c r="K39" i="5"/>
  <c r="M39" i="5"/>
  <c r="O39" i="5"/>
  <c r="P39" i="5" s="1"/>
  <c r="O39" i="4"/>
  <c r="P39" i="4" s="1"/>
  <c r="M39" i="4"/>
  <c r="K39" i="4"/>
  <c r="G40" i="4"/>
  <c r="H40" i="4"/>
  <c r="I40" i="4"/>
  <c r="J40" i="4"/>
  <c r="K44" i="5"/>
  <c r="O44" i="5"/>
  <c r="P44" i="5" s="1"/>
  <c r="M44" i="5"/>
  <c r="N39" i="4"/>
  <c r="L39" i="4"/>
  <c r="O35" i="5"/>
  <c r="P35" i="5" s="1"/>
  <c r="K35" i="5"/>
  <c r="M35" i="5"/>
  <c r="I25" i="3"/>
  <c r="M25" i="3"/>
  <c r="N25" i="3" s="1"/>
  <c r="K25" i="3"/>
  <c r="U27" i="1"/>
  <c r="T27" i="1"/>
  <c r="N44" i="5"/>
  <c r="L44" i="5"/>
  <c r="L34" i="1"/>
  <c r="J34" i="1"/>
  <c r="L39" i="5"/>
  <c r="D27" i="3"/>
  <c r="C26" i="3"/>
  <c r="E26" i="3"/>
  <c r="G26" i="3"/>
  <c r="H26" i="3"/>
  <c r="F26" i="3"/>
  <c r="M25" i="2"/>
  <c r="N25" i="2" s="1"/>
  <c r="K25" i="2"/>
  <c r="I25" i="2"/>
  <c r="C45" i="6"/>
  <c r="C26" i="2"/>
  <c r="C27" i="2" s="1"/>
  <c r="C28" i="2"/>
  <c r="C29" i="2" s="1"/>
  <c r="L44" i="4"/>
  <c r="N44" i="4"/>
  <c r="O44" i="4"/>
  <c r="P44" i="4" s="1"/>
  <c r="M44" i="4"/>
  <c r="K44" i="4"/>
  <c r="N35" i="4"/>
  <c r="L35" i="4"/>
  <c r="J45" i="4"/>
  <c r="I45" i="4"/>
  <c r="H45" i="4"/>
  <c r="G45" i="4"/>
  <c r="M43" i="5"/>
  <c r="K43" i="5"/>
  <c r="O43" i="5"/>
  <c r="P43" i="5" s="1"/>
  <c r="J45" i="5"/>
  <c r="I45" i="5"/>
  <c r="F45" i="5"/>
  <c r="G45" i="5" s="1"/>
  <c r="H45" i="5"/>
  <c r="C30" i="2" l="1"/>
  <c r="C31" i="2" s="1"/>
  <c r="C32" i="2"/>
  <c r="C33" i="2" s="1"/>
  <c r="C34" i="2" s="1"/>
  <c r="M26" i="3"/>
  <c r="N26" i="3" s="1"/>
  <c r="K26" i="3"/>
  <c r="I26" i="3"/>
  <c r="L40" i="4"/>
  <c r="N40" i="4"/>
  <c r="L26" i="3"/>
  <c r="J26" i="3"/>
  <c r="O45" i="4"/>
  <c r="P45" i="4" s="1"/>
  <c r="K45" i="4"/>
  <c r="M45" i="4"/>
  <c r="D28" i="3"/>
  <c r="H27" i="3"/>
  <c r="E27" i="3"/>
  <c r="C27" i="3"/>
  <c r="F27" i="3"/>
  <c r="G27" i="3"/>
  <c r="O40" i="4"/>
  <c r="P40" i="4" s="1"/>
  <c r="M40" i="4"/>
  <c r="K40" i="4"/>
  <c r="L45" i="4"/>
  <c r="N45" i="4"/>
  <c r="C28" i="5"/>
  <c r="C29" i="5" s="1"/>
  <c r="C30" i="5" s="1"/>
  <c r="C31" i="5" s="1"/>
  <c r="L45" i="5"/>
  <c r="N45" i="5"/>
  <c r="O45" i="5"/>
  <c r="P45" i="5" s="1"/>
  <c r="K45" i="5"/>
  <c r="M45" i="5"/>
  <c r="N40" i="5"/>
  <c r="L40" i="5"/>
  <c r="C28" i="1"/>
  <c r="C32" i="5" l="1"/>
  <c r="C33" i="5" s="1"/>
  <c r="C34" i="5" s="1"/>
  <c r="C35" i="5" s="1"/>
  <c r="C36" i="5" s="1"/>
  <c r="C37" i="5" s="1"/>
  <c r="C29" i="1"/>
  <c r="C38" i="5"/>
  <c r="I27" i="3"/>
  <c r="M27" i="3"/>
  <c r="N27" i="3" s="1"/>
  <c r="K27" i="3"/>
  <c r="L27" i="3"/>
  <c r="J27" i="3"/>
  <c r="F28" i="3"/>
  <c r="C28" i="3"/>
  <c r="D29" i="3"/>
  <c r="H28" i="3"/>
  <c r="E28" i="3"/>
  <c r="G28" i="3"/>
  <c r="D30" i="3" l="1"/>
  <c r="C29" i="3"/>
  <c r="F29" i="3"/>
  <c r="E29" i="3"/>
  <c r="H29" i="3"/>
  <c r="G29" i="3"/>
  <c r="L28" i="3"/>
  <c r="J28" i="3"/>
  <c r="C30" i="1"/>
  <c r="C31" i="1"/>
  <c r="M28" i="3"/>
  <c r="N28" i="3" s="1"/>
  <c r="K28" i="3"/>
  <c r="I28" i="3"/>
  <c r="C39" i="5"/>
  <c r="C32" i="1" l="1"/>
  <c r="C33" i="1" s="1"/>
  <c r="C34" i="1"/>
  <c r="I29" i="3"/>
  <c r="M29" i="3"/>
  <c r="N29" i="3" s="1"/>
  <c r="K29" i="3"/>
  <c r="J29" i="3"/>
  <c r="L29" i="3"/>
  <c r="F30" i="3"/>
  <c r="D31" i="3"/>
  <c r="E30" i="3"/>
  <c r="C30" i="3"/>
  <c r="H30" i="3"/>
  <c r="G30" i="3"/>
  <c r="C40" i="5"/>
  <c r="C41" i="5" s="1"/>
  <c r="C42" i="5" s="1"/>
  <c r="C43" i="5" s="1"/>
  <c r="C44" i="5" s="1"/>
  <c r="C45" i="5" s="1"/>
  <c r="L30" i="3" l="1"/>
  <c r="J30" i="3"/>
  <c r="D32" i="3"/>
  <c r="H31" i="3"/>
  <c r="G31" i="3"/>
  <c r="F31" i="3"/>
  <c r="C31" i="3"/>
  <c r="E31" i="3"/>
  <c r="M30" i="3"/>
  <c r="N30" i="3" s="1"/>
  <c r="K30" i="3"/>
  <c r="I30" i="3"/>
  <c r="L31" i="3" l="1"/>
  <c r="J31" i="3"/>
  <c r="I31" i="3"/>
  <c r="M31" i="3"/>
  <c r="N31" i="3" s="1"/>
  <c r="K31" i="3"/>
  <c r="F32" i="3"/>
  <c r="C32" i="3"/>
  <c r="D33" i="3"/>
  <c r="H32" i="3"/>
  <c r="G32" i="3"/>
  <c r="E32" i="3"/>
  <c r="M32" i="3" l="1"/>
  <c r="N32" i="3" s="1"/>
  <c r="K32" i="3"/>
  <c r="I32" i="3"/>
  <c r="H33" i="3"/>
  <c r="F33" i="3"/>
  <c r="E33" i="3"/>
  <c r="D34" i="3"/>
  <c r="C33" i="3"/>
  <c r="G33" i="3"/>
  <c r="J32" i="3"/>
  <c r="L32" i="3"/>
  <c r="K33" i="3" l="1"/>
  <c r="I33" i="3"/>
  <c r="M33" i="3"/>
  <c r="N33" i="3" s="1"/>
  <c r="D35" i="3"/>
  <c r="F34" i="3"/>
  <c r="E34" i="3"/>
  <c r="G34" i="3"/>
  <c r="C34" i="3"/>
  <c r="H34" i="3"/>
  <c r="L33" i="3"/>
  <c r="J33" i="3"/>
  <c r="M34" i="3" l="1"/>
  <c r="N34" i="3" s="1"/>
  <c r="K34" i="3"/>
  <c r="I34" i="3"/>
  <c r="L34" i="3"/>
  <c r="J34" i="3"/>
  <c r="E35" i="3"/>
  <c r="C35" i="3"/>
  <c r="D36" i="3"/>
  <c r="H35" i="3"/>
  <c r="G35" i="3"/>
  <c r="F35" i="3"/>
  <c r="L35" i="3" l="1"/>
  <c r="J35" i="3"/>
  <c r="F36" i="3"/>
  <c r="C36" i="3"/>
  <c r="C98" i="3" s="1"/>
  <c r="C99" i="3" s="1"/>
  <c r="G36" i="3"/>
  <c r="E36" i="3"/>
  <c r="H36" i="3"/>
  <c r="M35" i="3"/>
  <c r="N35" i="3" s="1"/>
  <c r="I35" i="3"/>
  <c r="K35" i="3"/>
  <c r="J36" i="3" l="1"/>
  <c r="L36" i="3"/>
  <c r="I36" i="3"/>
  <c r="M36" i="3"/>
  <c r="N36" i="3" s="1"/>
  <c r="K36" i="3"/>
  <c r="V20" i="6" l="1"/>
  <c r="I16" i="6" s="1"/>
  <c r="W20" i="6"/>
  <c r="J16" i="6" s="1"/>
  <c r="V21" i="6"/>
  <c r="W21" i="6"/>
  <c r="I22" i="6"/>
  <c r="J22" i="6"/>
  <c r="V22" i="6"/>
  <c r="W22" i="6"/>
  <c r="I23" i="6"/>
  <c r="J23" i="6"/>
  <c r="N23" i="6" s="1"/>
  <c r="K23" i="6"/>
  <c r="L23" i="6"/>
  <c r="I24" i="6"/>
  <c r="M24" i="6" s="1"/>
  <c r="J24" i="6"/>
  <c r="L24" i="6" s="1"/>
  <c r="K24" i="6"/>
  <c r="I26" i="6"/>
  <c r="J26" i="6"/>
  <c r="N26" i="6" s="1"/>
  <c r="K26" i="6"/>
  <c r="I27" i="6"/>
  <c r="J27" i="6"/>
  <c r="L27" i="6" s="1"/>
  <c r="K27" i="6"/>
  <c r="M27" i="6"/>
  <c r="N27" i="6"/>
  <c r="O27" i="6"/>
  <c r="P27" i="6"/>
  <c r="I29" i="6"/>
  <c r="J29" i="6"/>
  <c r="N29" i="6" s="1"/>
  <c r="K29" i="6"/>
  <c r="I30" i="6"/>
  <c r="J30" i="6"/>
  <c r="K30" i="6"/>
  <c r="L30" i="6"/>
  <c r="M30" i="6"/>
  <c r="N30" i="6"/>
  <c r="O30" i="6"/>
  <c r="P30" i="6" s="1"/>
  <c r="I32" i="6"/>
  <c r="J32" i="6"/>
  <c r="N32" i="6" s="1"/>
  <c r="K32" i="6"/>
  <c r="L32" i="6"/>
  <c r="U32" i="6" a="1"/>
  <c r="U32" i="6" s="1"/>
  <c r="I33" i="6"/>
  <c r="J33" i="6"/>
  <c r="N33" i="6" s="1"/>
  <c r="K33" i="6"/>
  <c r="I34" i="6"/>
  <c r="J34" i="6"/>
  <c r="K34" i="6"/>
  <c r="L34" i="6"/>
  <c r="M34" i="6"/>
  <c r="N34" i="6"/>
  <c r="O34" i="6"/>
  <c r="P34" i="6" s="1"/>
  <c r="I36" i="6"/>
  <c r="J36" i="6"/>
  <c r="N36" i="6" s="1"/>
  <c r="K36" i="6"/>
  <c r="L36" i="6"/>
  <c r="I37" i="6"/>
  <c r="M37" i="6" s="1"/>
  <c r="J37" i="6"/>
  <c r="L37" i="6" s="1"/>
  <c r="K37" i="6"/>
  <c r="I39" i="6"/>
  <c r="J39" i="6"/>
  <c r="N39" i="6" s="1"/>
  <c r="K39" i="6"/>
  <c r="I40" i="6"/>
  <c r="J40" i="6"/>
  <c r="L40" i="6" s="1"/>
  <c r="K40" i="6"/>
  <c r="M40" i="6"/>
  <c r="N40" i="6"/>
  <c r="O40" i="6"/>
  <c r="P40" i="6"/>
  <c r="I42" i="6"/>
  <c r="J42" i="6"/>
  <c r="N42" i="6" s="1"/>
  <c r="K42" i="6"/>
  <c r="I43" i="6"/>
  <c r="J43" i="6"/>
  <c r="K43" i="6"/>
  <c r="L43" i="6"/>
  <c r="M43" i="6"/>
  <c r="N43" i="6"/>
  <c r="O43" i="6"/>
  <c r="P43" i="6" s="1"/>
  <c r="I45" i="6"/>
  <c r="J45" i="6"/>
  <c r="N45" i="6" s="1"/>
  <c r="K45" i="6"/>
  <c r="L45" i="6"/>
  <c r="W32" i="6" l="1"/>
  <c r="V32" i="6"/>
  <c r="L16" i="6"/>
  <c r="N16" i="6"/>
  <c r="M36" i="6"/>
  <c r="O36" i="6"/>
  <c r="P36" i="6" s="1"/>
  <c r="K16" i="6"/>
  <c r="M16" i="6"/>
  <c r="O16" i="6"/>
  <c r="P16" i="6" s="1"/>
  <c r="L42" i="6"/>
  <c r="L33" i="6"/>
  <c r="L29" i="6"/>
  <c r="M39" i="6"/>
  <c r="O39" i="6"/>
  <c r="P39" i="6" s="1"/>
  <c r="M23" i="6"/>
  <c r="O23" i="6"/>
  <c r="P23" i="6" s="1"/>
  <c r="O37" i="6"/>
  <c r="P37" i="6" s="1"/>
  <c r="O24" i="6"/>
  <c r="P24" i="6" s="1"/>
  <c r="N24" i="6"/>
  <c r="K22" i="6"/>
  <c r="M22" i="6"/>
  <c r="M26" i="6"/>
  <c r="O26" i="6"/>
  <c r="P26" i="6" s="1"/>
  <c r="M45" i="6"/>
  <c r="O45" i="6"/>
  <c r="P45" i="6" s="1"/>
  <c r="N37" i="6"/>
  <c r="M42" i="6"/>
  <c r="O42" i="6"/>
  <c r="P42" i="6" s="1"/>
  <c r="M29" i="6"/>
  <c r="O29" i="6"/>
  <c r="P29" i="6" s="1"/>
  <c r="O22" i="6"/>
  <c r="P22" i="6" s="1"/>
  <c r="M32" i="6"/>
  <c r="O32" i="6"/>
  <c r="P32" i="6" s="1"/>
  <c r="M33" i="6"/>
  <c r="O33" i="6"/>
  <c r="P33" i="6" s="1"/>
  <c r="L39" i="6"/>
  <c r="L26" i="6"/>
  <c r="L22" i="6"/>
  <c r="N22" i="6"/>
  <c r="J20" i="6"/>
  <c r="J17" i="6"/>
  <c r="I20" i="6"/>
  <c r="I17" i="6"/>
  <c r="J44" i="6"/>
  <c r="J41" i="6"/>
  <c r="J38" i="6"/>
  <c r="J35" i="6"/>
  <c r="J31" i="6"/>
  <c r="J28" i="6"/>
  <c r="J25" i="6"/>
  <c r="J21" i="6"/>
  <c r="I44" i="6"/>
  <c r="I41" i="6"/>
  <c r="I38" i="6"/>
  <c r="I35" i="6"/>
  <c r="I31" i="6"/>
  <c r="I28" i="6"/>
  <c r="I25" i="6"/>
  <c r="I21" i="6"/>
  <c r="J18" i="6"/>
  <c r="I18" i="6"/>
  <c r="J19" i="6"/>
  <c r="I19" i="6"/>
  <c r="L18" i="6" l="1"/>
  <c r="N18" i="6"/>
  <c r="L31" i="6"/>
  <c r="N31" i="6"/>
  <c r="O21" i="6"/>
  <c r="P21" i="6" s="1"/>
  <c r="K21" i="6"/>
  <c r="M21" i="6"/>
  <c r="L35" i="6"/>
  <c r="N35" i="6"/>
  <c r="K28" i="6"/>
  <c r="M28" i="6"/>
  <c r="O28" i="6"/>
  <c r="P28" i="6" s="1"/>
  <c r="L41" i="6"/>
  <c r="N41" i="6"/>
  <c r="K31" i="6"/>
  <c r="M31" i="6"/>
  <c r="O31" i="6"/>
  <c r="P31" i="6" s="1"/>
  <c r="L44" i="6"/>
  <c r="N44" i="6"/>
  <c r="K35" i="6"/>
  <c r="M35" i="6"/>
  <c r="O35" i="6"/>
  <c r="P35" i="6" s="1"/>
  <c r="M17" i="6"/>
  <c r="O17" i="6"/>
  <c r="P17" i="6" s="1"/>
  <c r="K17" i="6"/>
  <c r="K38" i="6"/>
  <c r="M38" i="6"/>
  <c r="O38" i="6"/>
  <c r="P38" i="6" s="1"/>
  <c r="M20" i="6"/>
  <c r="O20" i="6"/>
  <c r="P20" i="6" s="1"/>
  <c r="K20" i="6"/>
  <c r="K25" i="6"/>
  <c r="O25" i="6"/>
  <c r="P25" i="6" s="1"/>
  <c r="M25" i="6"/>
  <c r="K41" i="6"/>
  <c r="O41" i="6"/>
  <c r="P41" i="6" s="1"/>
  <c r="M41" i="6"/>
  <c r="N17" i="6"/>
  <c r="L17" i="6"/>
  <c r="L38" i="6"/>
  <c r="N38" i="6"/>
  <c r="K44" i="6"/>
  <c r="M44" i="6"/>
  <c r="O44" i="6"/>
  <c r="P44" i="6" s="1"/>
  <c r="N20" i="6"/>
  <c r="L20" i="6"/>
  <c r="K19" i="6"/>
  <c r="M19" i="6"/>
  <c r="O19" i="6"/>
  <c r="P19" i="6" s="1"/>
  <c r="L21" i="6"/>
  <c r="N21" i="6"/>
  <c r="L19" i="6"/>
  <c r="N19" i="6"/>
  <c r="L25" i="6"/>
  <c r="N25" i="6"/>
  <c r="K18" i="6"/>
  <c r="M18" i="6"/>
  <c r="O18" i="6"/>
  <c r="P18" i="6" s="1"/>
  <c r="L28" i="6"/>
  <c r="N2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<sst xmlns="http://schemas.openxmlformats.org/spreadsheetml/2006/main" count="406" uniqueCount="81">
  <si>
    <t>Residential Service - Standard Plan</t>
  </si>
  <si>
    <t>Schedule 1</t>
  </si>
  <si>
    <t>Column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</si>
  <si>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</si>
  <si>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</si>
  <si>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</si>
  <si>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</si>
  <si>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</si>
  <si>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</si>
  <si>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</si>
  <si>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</si>
  <si>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</si>
  <si>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</si>
  <si>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</si>
  <si>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Monthly Billing</t>
  </si>
  <si>
    <t>Change</t>
  </si>
  <si>
    <t>Weighted</t>
  </si>
  <si>
    <r>
      <t>Row</t>
    </r>
    <r>
      <rPr>
        <vertAlign val="superscript"/>
        <sz val="9"/>
        <color theme="0" tint="-0.34998626667073579"/>
        <rFont val="Calibri"/>
        <family val="2"/>
        <scheme val="minor"/>
      </rPr>
      <t>1</t>
    </r>
  </si>
  <si>
    <t>Line</t>
  </si>
  <si>
    <t>Current</t>
  </si>
  <si>
    <t>Proposed</t>
  </si>
  <si>
    <t>$</t>
  </si>
  <si>
    <t>%</t>
  </si>
  <si>
    <t>Average Change</t>
  </si>
  <si>
    <t>No.</t>
  </si>
  <si>
    <t>kWh</t>
  </si>
  <si>
    <t>Summer</t>
  </si>
  <si>
    <t>Non-Summer</t>
  </si>
  <si>
    <t>Test Year</t>
  </si>
  <si>
    <t>Service Charge</t>
  </si>
  <si>
    <t>1st kWh</t>
  </si>
  <si>
    <t>2nd kWh</t>
  </si>
  <si>
    <t>3rd kWh</t>
  </si>
  <si>
    <t>Transfer Adj.</t>
  </si>
  <si>
    <t>Present</t>
  </si>
  <si>
    <t>Average Bill</t>
  </si>
  <si>
    <t>Residential Service - Time-of-Use Plan</t>
  </si>
  <si>
    <t>Schedule 5</t>
  </si>
  <si>
    <t>kWh On-Peak</t>
  </si>
  <si>
    <t>kWh Mid-Peak</t>
  </si>
  <si>
    <t>kWh Off-Peak</t>
  </si>
  <si>
    <t>On-Peak %</t>
  </si>
  <si>
    <t>Mid-Peak %</t>
  </si>
  <si>
    <t>Off-Peak %</t>
  </si>
  <si>
    <t>Bills are calculated using the average time-of-use (TOU) energy proportions by season for existing Schedule 5 customers. Actual TOU energy proportions for customers may vary.</t>
  </si>
  <si>
    <t>Small General Service</t>
  </si>
  <si>
    <t>Schedule 7</t>
  </si>
  <si>
    <t>Large General - Secondary Service</t>
  </si>
  <si>
    <t>Schedule 9</t>
  </si>
  <si>
    <t>(L)</t>
  </si>
  <si>
    <t>(M)</t>
  </si>
  <si>
    <r>
      <t>Row</t>
    </r>
    <r>
      <rPr>
        <vertAlign val="superscript"/>
        <sz val="9"/>
        <color theme="0" tint="-0.34998626667073579"/>
        <rFont val="Calibri Light"/>
        <family val="2"/>
        <scheme val="major"/>
      </rPr>
      <t>1</t>
    </r>
  </si>
  <si>
    <t>Load Size</t>
  </si>
  <si>
    <t>Load</t>
  </si>
  <si>
    <t>kW</t>
  </si>
  <si>
    <t>Factor</t>
  </si>
  <si>
    <t>Basic Charge</t>
  </si>
  <si>
    <t>Demand Charge</t>
  </si>
  <si>
    <t>Energy Charge</t>
  </si>
  <si>
    <t>BLC Ratio</t>
  </si>
  <si>
    <t>Bills are based on class average energy consumption by time period and season.</t>
  </si>
  <si>
    <t>Large General - Primary Service</t>
  </si>
  <si>
    <t>S On-Peak</t>
  </si>
  <si>
    <t>On-Peak</t>
  </si>
  <si>
    <t>Mid-Peak</t>
  </si>
  <si>
    <t>Off-Peak</t>
  </si>
  <si>
    <t>OP Demand Ratio</t>
  </si>
  <si>
    <t>Large Power Service - Primary</t>
  </si>
  <si>
    <t>Schedule 19</t>
  </si>
  <si>
    <t>OP Demand</t>
  </si>
  <si>
    <t>Monthly Adjusted Base Revenue Comparison</t>
  </si>
  <si>
    <t>Agricultural Irrigation Service - Secondary</t>
  </si>
  <si>
    <t>Schedule 24</t>
  </si>
  <si>
    <t>In-Season</t>
  </si>
  <si>
    <t>Out-Season</t>
  </si>
  <si>
    <t>Current Rates</t>
  </si>
  <si>
    <t>Proposed Rates</t>
  </si>
  <si>
    <t>In Season</t>
  </si>
  <si>
    <t>Out of Season</t>
  </si>
  <si>
    <t>Transfer Adjustment</t>
  </si>
  <si>
    <t>Weighted Average Bills are based on four months of in-season, fours month of out-season, and four months of zero usage.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</si>
</sst>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0.0%;\(###0.0%\)"/>
    <numFmt numFmtId="165" formatCode="_(&quot;$&quot;* #,##0.000000_);_(&quot;$&quot;* \(#,##0.000000\);_(&quot;$&quot;* &quot;-&quot;??????_);_(@_)"/>
    <numFmt numFmtId="166" formatCode="_(* #,##0.000000_);_(* \(#,##0.000000\);_(* &quot;-&quot;??????_);_(@_)"/>
    <numFmt numFmtId="167" formatCode="#,##0\ &quot;kWh&quot;"/>
    <numFmt numFmtId="168" formatCode="_(&quot;$&quot;* #,##0.000_);_(&quot;$&quot;* \(#,##0.000\);_(&quot;$&quot;* &quot;-&quot;??_);_(@_)"/>
    <numFmt numFmtId="169" formatCode="0.0%"/>
    <numFmt numFmtId="170" formatCode="###0%;\(###0%\)"/>
    <numFmt numFmtId="171" formatCode="#,##0\ &quot;kW&quot;"/>
    <numFmt numFmtId="172" formatCode="_(&quot;$&quot;* #,##0.000000_);_(&quot;$&quot;* \(#,##0.000000\);_(&quot;$&quot;* &quot;-&quot;??_);_(@_)"/>
  </numFmts>
  <fonts count="32" x14ac:knownFonts="1">
    <font>
      <sz val="9"/>
      <color theme="1"/>
      <name val="Arial Nova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9"/>
      <color theme="1"/>
      <name val="Calibri"/>
      <family val="2"/>
      <scheme val="minor"/>
    </font>
    <font>
      <sz val="9"/>
      <color theme="1"/>
      <name val="Arial Nova"/>
      <family val="2"/>
    </font>
    <font>
      <b/>
      <sz val="9"/>
      <color theme="1"/>
      <name val="Arial Nova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u val="singleAccounting"/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color theme="0" tint="-0.34998626667073579"/>
      <name val="Calibri Light"/>
      <family val="2"/>
      <scheme val="major"/>
    </font>
    <font>
      <vertAlign val="superscript"/>
      <sz val="9"/>
      <color theme="0" tint="-0.34998626667073579"/>
      <name val="Calibri"/>
      <family val="2"/>
      <scheme val="minor"/>
    </font>
    <font>
      <sz val="9"/>
      <name val="Arial Nova"/>
      <family val="2"/>
    </font>
    <font>
      <sz val="9"/>
      <color rgb="FF008000"/>
      <name val="Calibri"/>
      <family val="2"/>
      <scheme val="minor"/>
    </font>
    <font>
      <sz val="9"/>
      <color rgb="FF0000FF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 Light"/>
      <family val="2"/>
      <scheme val="major"/>
    </font>
    <font>
      <sz val="9"/>
      <color rgb="FF008000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i/>
      <sz val="9"/>
      <color rgb="FF008000"/>
      <name val="Calibri Light"/>
      <family val="2"/>
      <scheme val="major"/>
    </font>
    <font>
      <sz val="9"/>
      <color rgb="FF0000FF"/>
      <name val="Calibri Light"/>
      <family val="2"/>
      <scheme val="major"/>
    </font>
    <font>
      <b/>
      <i/>
      <sz val="9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vertAlign val="superscript"/>
      <sz val="9"/>
      <color theme="0" tint="-0.34998626667073579"/>
      <name val="Calibri Light"/>
      <family val="2"/>
      <scheme val="major"/>
    </font>
    <font>
      <sz val="9"/>
      <name val="Calibri Light"/>
      <family val="2"/>
      <scheme val="major"/>
    </font>
    <font>
      <b/>
      <u/>
      <sz val="9"/>
      <color theme="1"/>
      <name val="Calibri Light"/>
      <family val="2"/>
      <scheme val="major"/>
    </font>
    <font>
      <sz val="10"/>
      <name val="Helv"/>
    </font>
    <font>
      <i/>
      <sz val="9"/>
      <name val="Calibri Light"/>
      <family val="2"/>
      <scheme val="major"/>
    </font>
    <font>
      <sz val="9"/>
      <color theme="0" tint="-4.9989318521683403E-2"/>
      <name val="Arial Nova"/>
      <family val="2"/>
    </font>
    <font>
      <sz val="9"/>
      <color theme="0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</cellStyleXfs>
  <cellXfs count="135">
    <xf numFmtId="0" fontId="0" fillId="0" borderId="0" xfId="0"/>
    <xf numFmtId="0" fontId="3" fillId="0" borderId="0" xfId="3" applyFont="1"/>
    <xf numFmtId="0" fontId="5" fillId="0" borderId="0" xfId="0" applyFont="1" applyAlignment="1">
      <alignment horizontal="centerContinuous"/>
    </xf>
    <xf numFmtId="0" fontId="7" fillId="0" borderId="0" xfId="4" applyFont="1" applyAlignment="1">
      <alignment horizontal="centerContinuous"/>
    </xf>
    <xf numFmtId="0" fontId="3" fillId="0" borderId="0" xfId="3" applyFont="1" applyAlignment="1">
      <alignment horizontal="centerContinuous"/>
    </xf>
    <xf numFmtId="0" fontId="3" fillId="0" borderId="0" xfId="4" applyFont="1" applyAlignment="1">
      <alignment horizontal="centerContinuous"/>
    </xf>
    <xf numFmtId="0" fontId="3" fillId="0" borderId="1" xfId="3" applyFont="1" applyBorder="1"/>
    <xf numFmtId="0" fontId="0" fillId="0" borderId="1" xfId="0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8" fillId="0" borderId="0" xfId="3" applyFont="1"/>
    <xf numFmtId="0" fontId="9" fillId="0" borderId="0" xfId="4" applyFont="1" applyAlignment="1">
      <alignment horizontal="centerContinuous"/>
    </xf>
    <xf numFmtId="0" fontId="10" fillId="0" borderId="0" xfId="4" applyFont="1" applyAlignment="1">
      <alignment horizontal="centerContinuous"/>
    </xf>
    <xf numFmtId="0" fontId="11" fillId="0" borderId="0" xfId="4" applyFont="1" applyAlignment="1">
      <alignment horizontal="right"/>
    </xf>
    <xf numFmtId="0" fontId="10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164" fontId="3" fillId="0" borderId="0" xfId="3" applyNumberFormat="1" applyFont="1"/>
    <xf numFmtId="0" fontId="8" fillId="0" borderId="2" xfId="3" applyFont="1" applyBorder="1"/>
    <xf numFmtId="0" fontId="9" fillId="0" borderId="3" xfId="4" applyFont="1" applyBorder="1" applyAlignment="1">
      <alignment horizontal="centerContinuous"/>
    </xf>
    <xf numFmtId="0" fontId="9" fillId="0" borderId="4" xfId="4" applyFont="1" applyBorder="1" applyAlignment="1">
      <alignment horizontal="centerContinuous"/>
    </xf>
    <xf numFmtId="43" fontId="13" fillId="0" borderId="0" xfId="0" applyNumberFormat="1" applyFont="1"/>
    <xf numFmtId="0" fontId="9" fillId="0" borderId="5" xfId="4" applyFont="1" applyBorder="1" applyAlignment="1">
      <alignment horizontal="centerContinuous"/>
    </xf>
    <xf numFmtId="0" fontId="9" fillId="0" borderId="6" xfId="4" applyFont="1" applyBorder="1" applyAlignment="1">
      <alignment horizontal="centerContinuous"/>
    </xf>
    <xf numFmtId="0" fontId="3" fillId="0" borderId="5" xfId="3" applyFont="1" applyBorder="1"/>
    <xf numFmtId="0" fontId="3" fillId="0" borderId="6" xfId="3" applyFont="1" applyBorder="1"/>
    <xf numFmtId="43" fontId="3" fillId="0" borderId="0" xfId="3" applyNumberFormat="1" applyFont="1"/>
    <xf numFmtId="44" fontId="14" fillId="0" borderId="0" xfId="3" applyNumberFormat="1" applyFont="1"/>
    <xf numFmtId="44" fontId="14" fillId="0" borderId="6" xfId="3" applyNumberFormat="1" applyFont="1" applyBorder="1"/>
    <xf numFmtId="165" fontId="14" fillId="0" borderId="0" xfId="4" applyNumberFormat="1" applyFont="1"/>
    <xf numFmtId="165" fontId="14" fillId="0" borderId="6" xfId="4" applyNumberFormat="1" applyFont="1" applyBorder="1"/>
    <xf numFmtId="166" fontId="14" fillId="0" borderId="0" xfId="4" applyNumberFormat="1" applyFont="1"/>
    <xf numFmtId="0" fontId="3" fillId="0" borderId="7" xfId="3" applyFont="1" applyBorder="1"/>
    <xf numFmtId="166" fontId="14" fillId="0" borderId="8" xfId="4" applyNumberFormat="1" applyFont="1" applyBorder="1"/>
    <xf numFmtId="166" fontId="15" fillId="0" borderId="8" xfId="4" applyNumberFormat="1" applyFont="1" applyBorder="1"/>
    <xf numFmtId="166" fontId="15" fillId="0" borderId="9" xfId="4" applyNumberFormat="1" applyFont="1" applyBorder="1"/>
    <xf numFmtId="167" fontId="16" fillId="0" borderId="2" xfId="3" applyNumberFormat="1" applyFont="1" applyBorder="1" applyAlignment="1">
      <alignment horizontal="left"/>
    </xf>
    <xf numFmtId="0" fontId="7" fillId="0" borderId="3" xfId="3" applyFont="1" applyBorder="1" applyAlignment="1">
      <alignment horizontal="center"/>
    </xf>
    <xf numFmtId="0" fontId="3" fillId="0" borderId="4" xfId="3" applyFont="1" applyBorder="1"/>
    <xf numFmtId="0" fontId="17" fillId="0" borderId="7" xfId="3" applyFont="1" applyBorder="1"/>
    <xf numFmtId="168" fontId="17" fillId="0" borderId="8" xfId="3" applyNumberFormat="1" applyFont="1" applyBorder="1"/>
    <xf numFmtId="44" fontId="17" fillId="0" borderId="8" xfId="3" applyNumberFormat="1" applyFont="1" applyBorder="1"/>
    <xf numFmtId="169" fontId="17" fillId="0" borderId="9" xfId="3" applyNumberFormat="1" applyFont="1" applyBorder="1"/>
    <xf numFmtId="0" fontId="3" fillId="0" borderId="10" xfId="3" applyFont="1" applyBorder="1"/>
    <xf numFmtId="0" fontId="8" fillId="0" borderId="5" xfId="3" applyFont="1" applyBorder="1"/>
    <xf numFmtId="0" fontId="18" fillId="0" borderId="0" xfId="3" applyFont="1"/>
    <xf numFmtId="0" fontId="18" fillId="0" borderId="6" xfId="3" applyFont="1" applyBorder="1"/>
    <xf numFmtId="44" fontId="19" fillId="0" borderId="0" xfId="3" applyNumberFormat="1" applyFont="1"/>
    <xf numFmtId="44" fontId="19" fillId="0" borderId="6" xfId="3" applyNumberFormat="1" applyFont="1" applyBorder="1"/>
    <xf numFmtId="165" fontId="19" fillId="0" borderId="0" xfId="4" applyNumberFormat="1" applyFont="1"/>
    <xf numFmtId="165" fontId="19" fillId="0" borderId="6" xfId="4" applyNumberFormat="1" applyFont="1" applyBorder="1"/>
    <xf numFmtId="166" fontId="19" fillId="0" borderId="0" xfId="4" applyNumberFormat="1" applyFont="1"/>
    <xf numFmtId="166" fontId="19" fillId="0" borderId="6" xfId="4" applyNumberFormat="1" applyFont="1" applyBorder="1"/>
    <xf numFmtId="0" fontId="20" fillId="0" borderId="5" xfId="3" applyFont="1" applyBorder="1"/>
    <xf numFmtId="9" fontId="21" fillId="0" borderId="0" xfId="5" applyFont="1" applyBorder="1"/>
    <xf numFmtId="9" fontId="21" fillId="0" borderId="6" xfId="5" applyFont="1" applyBorder="1"/>
    <xf numFmtId="0" fontId="8" fillId="0" borderId="7" xfId="3" applyFont="1" applyBorder="1"/>
    <xf numFmtId="166" fontId="19" fillId="0" borderId="8" xfId="4" applyNumberFormat="1" applyFont="1" applyBorder="1"/>
    <xf numFmtId="166" fontId="22" fillId="0" borderId="8" xfId="4" applyNumberFormat="1" applyFont="1" applyBorder="1"/>
    <xf numFmtId="166" fontId="22" fillId="0" borderId="9" xfId="4" applyNumberFormat="1" applyFont="1" applyBorder="1"/>
    <xf numFmtId="167" fontId="23" fillId="0" borderId="2" xfId="3" applyNumberFormat="1" applyFont="1" applyBorder="1" applyAlignment="1">
      <alignment horizontal="left"/>
    </xf>
    <xf numFmtId="0" fontId="10" fillId="0" borderId="3" xfId="3" applyFont="1" applyBorder="1" applyAlignment="1">
      <alignment horizontal="center"/>
    </xf>
    <xf numFmtId="0" fontId="8" fillId="0" borderId="4" xfId="3" applyFont="1" applyBorder="1"/>
    <xf numFmtId="0" fontId="20" fillId="0" borderId="7" xfId="3" applyFont="1" applyBorder="1"/>
    <xf numFmtId="44" fontId="20" fillId="0" borderId="8" xfId="3" applyNumberFormat="1" applyFont="1" applyBorder="1"/>
    <xf numFmtId="169" fontId="20" fillId="0" borderId="9" xfId="3" applyNumberFormat="1" applyFont="1" applyBorder="1"/>
    <xf numFmtId="0" fontId="20" fillId="0" borderId="0" xfId="3" applyFont="1"/>
    <xf numFmtId="0" fontId="8" fillId="0" borderId="6" xfId="3" applyFont="1" applyBorder="1"/>
    <xf numFmtId="166" fontId="19" fillId="0" borderId="9" xfId="4" applyNumberFormat="1" applyFont="1" applyBorder="1"/>
    <xf numFmtId="0" fontId="8" fillId="0" borderId="0" xfId="3" applyFont="1" applyAlignment="1">
      <alignment horizontal="center"/>
    </xf>
    <xf numFmtId="41" fontId="8" fillId="0" borderId="0" xfId="3" applyNumberFormat="1" applyFont="1"/>
    <xf numFmtId="164" fontId="8" fillId="0" borderId="0" xfId="3" applyNumberFormat="1" applyFont="1"/>
    <xf numFmtId="0" fontId="8" fillId="0" borderId="10" xfId="3" applyFont="1" applyBorder="1"/>
    <xf numFmtId="44" fontId="8" fillId="0" borderId="0" xfId="3" applyNumberFormat="1" applyFont="1"/>
    <xf numFmtId="0" fontId="24" fillId="0" borderId="0" xfId="6" applyFont="1" applyAlignment="1">
      <alignment horizontal="centerContinuous"/>
    </xf>
    <xf numFmtId="0" fontId="8" fillId="0" borderId="0" xfId="3" applyFont="1" applyAlignment="1">
      <alignment horizontal="centerContinuous"/>
    </xf>
    <xf numFmtId="0" fontId="0" fillId="0" borderId="0" xfId="0" applyAlignment="1">
      <alignment horizontal="centerContinuous"/>
    </xf>
    <xf numFmtId="0" fontId="10" fillId="0" borderId="0" xfId="4" applyFont="1" applyAlignment="1">
      <alignment horizontal="center"/>
    </xf>
    <xf numFmtId="0" fontId="8" fillId="2" borderId="0" xfId="3" applyFont="1" applyFill="1" applyAlignment="1">
      <alignment horizontal="center"/>
    </xf>
    <xf numFmtId="43" fontId="13" fillId="2" borderId="0" xfId="0" applyNumberFormat="1" applyFont="1" applyFill="1"/>
    <xf numFmtId="165" fontId="19" fillId="0" borderId="0" xfId="3" applyNumberFormat="1" applyFont="1"/>
    <xf numFmtId="165" fontId="19" fillId="0" borderId="6" xfId="3" applyNumberFormat="1" applyFont="1" applyBorder="1"/>
    <xf numFmtId="43" fontId="21" fillId="0" borderId="0" xfId="1" applyFont="1" applyFill="1" applyBorder="1"/>
    <xf numFmtId="43" fontId="21" fillId="0" borderId="6" xfId="1" applyFont="1" applyFill="1" applyBorder="1"/>
    <xf numFmtId="0" fontId="10" fillId="0" borderId="4" xfId="3" applyFont="1" applyBorder="1" applyAlignment="1">
      <alignment horizontal="center"/>
    </xf>
    <xf numFmtId="171" fontId="23" fillId="0" borderId="5" xfId="3" applyNumberFormat="1" applyFont="1" applyBorder="1" applyAlignment="1">
      <alignment horizontal="left"/>
    </xf>
    <xf numFmtId="164" fontId="20" fillId="0" borderId="9" xfId="3" applyNumberFormat="1" applyFont="1" applyBorder="1"/>
    <xf numFmtId="0" fontId="26" fillId="0" borderId="0" xfId="6" applyFont="1" applyAlignment="1">
      <alignment horizontal="centerContinuous"/>
    </xf>
    <xf numFmtId="0" fontId="19" fillId="0" borderId="5" xfId="3" applyFont="1" applyBorder="1"/>
    <xf numFmtId="44" fontId="19" fillId="3" borderId="0" xfId="3" applyNumberFormat="1" applyFont="1" applyFill="1"/>
    <xf numFmtId="44" fontId="19" fillId="3" borderId="6" xfId="3" applyNumberFormat="1" applyFont="1" applyFill="1" applyBorder="1"/>
    <xf numFmtId="0" fontId="21" fillId="0" borderId="5" xfId="3" applyFont="1" applyBorder="1"/>
    <xf numFmtId="9" fontId="19" fillId="3" borderId="0" xfId="5" applyFont="1" applyFill="1" applyBorder="1"/>
    <xf numFmtId="9" fontId="19" fillId="3" borderId="6" xfId="5" applyFont="1" applyFill="1" applyBorder="1"/>
    <xf numFmtId="43" fontId="21" fillId="0" borderId="0" xfId="1" applyFont="1" applyBorder="1"/>
    <xf numFmtId="9" fontId="18" fillId="3" borderId="0" xfId="5" applyFont="1" applyFill="1" applyBorder="1"/>
    <xf numFmtId="9" fontId="18" fillId="3" borderId="6" xfId="5" applyFont="1" applyFill="1" applyBorder="1"/>
    <xf numFmtId="0" fontId="19" fillId="0" borderId="7" xfId="3" applyFont="1" applyBorder="1"/>
    <xf numFmtId="0" fontId="8" fillId="0" borderId="0" xfId="4" applyFont="1" applyAlignment="1">
      <alignment horizontal="centerContinuous"/>
    </xf>
    <xf numFmtId="166" fontId="26" fillId="0" borderId="8" xfId="4" applyNumberFormat="1" applyFont="1" applyBorder="1"/>
    <xf numFmtId="166" fontId="26" fillId="0" borderId="9" xfId="4" applyNumberFormat="1" applyFont="1" applyBorder="1"/>
    <xf numFmtId="0" fontId="27" fillId="0" borderId="0" xfId="3" applyFont="1"/>
    <xf numFmtId="42" fontId="20" fillId="0" borderId="8" xfId="3" applyNumberFormat="1" applyFont="1" applyBorder="1"/>
    <xf numFmtId="44" fontId="20" fillId="0" borderId="0" xfId="3" applyNumberFormat="1" applyFont="1"/>
    <xf numFmtId="164" fontId="20" fillId="0" borderId="0" xfId="3" applyNumberFormat="1" applyFont="1"/>
    <xf numFmtId="3" fontId="8" fillId="0" borderId="0" xfId="3" applyNumberFormat="1" applyFont="1"/>
    <xf numFmtId="0" fontId="26" fillId="0" borderId="0" xfId="7" applyFont="1"/>
    <xf numFmtId="0" fontId="26" fillId="0" borderId="0" xfId="7" applyFont="1" applyAlignment="1">
      <alignment horizontal="centerContinuous"/>
    </xf>
    <xf numFmtId="0" fontId="26" fillId="0" borderId="0" xfId="7" applyFont="1" applyAlignment="1">
      <alignment horizontal="center"/>
    </xf>
    <xf numFmtId="0" fontId="18" fillId="0" borderId="0" xfId="7" applyFont="1"/>
    <xf numFmtId="0" fontId="24" fillId="0" borderId="0" xfId="7" applyFont="1"/>
    <xf numFmtId="44" fontId="26" fillId="0" borderId="0" xfId="7" applyNumberFormat="1" applyFont="1"/>
    <xf numFmtId="43" fontId="26" fillId="0" borderId="0" xfId="7" applyNumberFormat="1" applyFont="1"/>
    <xf numFmtId="0" fontId="26" fillId="0" borderId="11" xfId="7" applyFont="1" applyBorder="1"/>
    <xf numFmtId="0" fontId="26" fillId="0" borderId="1" xfId="7" applyFont="1" applyBorder="1"/>
    <xf numFmtId="0" fontId="26" fillId="0" borderId="12" xfId="7" applyFont="1" applyBorder="1"/>
    <xf numFmtId="172" fontId="26" fillId="0" borderId="0" xfId="2" applyNumberFormat="1" applyFont="1"/>
    <xf numFmtId="172" fontId="26" fillId="0" borderId="0" xfId="2" applyNumberFormat="1" applyFont="1" applyBorder="1"/>
    <xf numFmtId="0" fontId="29" fillId="0" borderId="0" xfId="8" applyFont="1" applyAlignment="1">
      <alignment horizontal="left"/>
    </xf>
    <xf numFmtId="0" fontId="10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26" fillId="0" borderId="11" xfId="7" applyFont="1" applyBorder="1" applyAlignment="1">
      <alignment horizontal="center"/>
    </xf>
    <xf numFmtId="0" fontId="26" fillId="0" borderId="12" xfId="7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0" fontId="4" fillId="2" borderId="0" xfId="3" applyFont="1" applyFill="1" applyAlignment="1">
      <alignment horizontal="center"/>
    </xf>
    <xf numFmtId="41" fontId="4" fillId="2" borderId="0" xfId="3" applyNumberFormat="1" applyFont="1" applyFill="1"/>
    <xf numFmtId="170" fontId="4" fillId="2" borderId="0" xfId="3" applyNumberFormat="1" applyFont="1" applyFill="1" applyAlignment="1">
      <alignment horizontal="center"/>
    </xf>
    <xf numFmtId="44" fontId="4" fillId="2" borderId="0" xfId="3" applyNumberFormat="1" applyFont="1" applyFill="1"/>
    <xf numFmtId="164" fontId="4" fillId="2" borderId="0" xfId="3" applyNumberFormat="1" applyFont="1" applyFill="1"/>
    <xf numFmtId="41" fontId="30" fillId="2" borderId="0" xfId="3" applyNumberFormat="1" applyFont="1" applyFill="1"/>
    <xf numFmtId="0" fontId="4" fillId="0" borderId="0" xfId="3" applyFont="1" applyAlignment="1">
      <alignment horizontal="center"/>
    </xf>
    <xf numFmtId="41" fontId="4" fillId="0" borderId="0" xfId="3" applyNumberFormat="1" applyFont="1"/>
    <xf numFmtId="170" fontId="4" fillId="0" borderId="0" xfId="3" applyNumberFormat="1" applyFont="1" applyAlignment="1">
      <alignment horizontal="center"/>
    </xf>
    <xf numFmtId="44" fontId="4" fillId="0" borderId="0" xfId="3" applyNumberFormat="1" applyFont="1"/>
    <xf numFmtId="164" fontId="4" fillId="0" borderId="0" xfId="3" applyNumberFormat="1" applyFont="1"/>
    <xf numFmtId="41" fontId="31" fillId="0" borderId="0" xfId="3" applyNumberFormat="1" applyFont="1"/>
    <xf numFmtId="0" fontId="4" fillId="0" borderId="10" xfId="3" applyFont="1" applyBorder="1"/>
  </cellXfs>
  <cellStyles count="9">
    <cellStyle name="Comma" xfId="1" builtinId="3"/>
    <cellStyle name="Currency" xfId="2" builtinId="4"/>
    <cellStyle name="Normal" xfId="0" builtinId="0"/>
    <cellStyle name="Normal 14" xfId="6" xr:uid="{2F17C80F-B232-4CC1-9E43-5EC257729B00}"/>
    <cellStyle name="Normal 2 2 3" xfId="8" xr:uid="{8ECF81A0-E7CD-4612-AF62-4BAB4CB86F3F}"/>
    <cellStyle name="Normal 2 3" xfId="4" xr:uid="{A2CDC1E5-1993-4849-9DE1-DB933BFE03FC}"/>
    <cellStyle name="Normal 3 2" xfId="7" xr:uid="{6A40F538-4F97-460C-826A-D7F95023BC5B}"/>
    <cellStyle name="Normal 4" xfId="3" xr:uid="{94966011-FD43-407D-BB37-4122A183D072}"/>
    <cellStyle name="Percent 3" xfId="5" xr:uid="{4BB43028-30AD-4DFF-85F9-D41C47685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icing%20and%20Tariff%20Admin\GRC\ID\IPC-E-25-16\Atty%20Work%20Product\Rate%20Design\Workpaper\Workpaper%201%20-%20Pricing%20Final%20Application%20Send.xlsx" TargetMode="External"/><Relationship Id="rId1" Type="http://schemas.openxmlformats.org/officeDocument/2006/relationships/externalLinkPath" Target="/Pricing%20and%20Tariff%20Admin/GRC/ID/IPC-E-25-16/Atty%20Work%20Product/Rate%20Design/Workpaper/Workpaper%201%20-%20Pricing%20Final%20Application%20S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puts"/>
      <sheetName val="I01+I06"/>
      <sheetName val="I01"/>
      <sheetName val="I06"/>
      <sheetName val="I03"/>
      <sheetName val="I05+IO6 TOU"/>
      <sheetName val="I05"/>
      <sheetName val="I06 TOU"/>
      <sheetName val="I07+I08"/>
      <sheetName val="I07"/>
      <sheetName val="I08"/>
      <sheetName val="I09S"/>
      <sheetName val="I09S_TOU"/>
      <sheetName val="I09P"/>
      <sheetName val="I09T"/>
      <sheetName val="I19S"/>
      <sheetName val="I19P"/>
      <sheetName val="I19T"/>
      <sheetName val="I24S"/>
      <sheetName val="I24T"/>
      <sheetName val="I15"/>
      <sheetName val="I40"/>
      <sheetName val="I41"/>
      <sheetName val="I42"/>
      <sheetName val="I26"/>
      <sheetName val="I29"/>
      <sheetName val="I30"/>
      <sheetName val="I32"/>
      <sheetName val="I33"/>
      <sheetName val="I34"/>
      <sheetName val="I20_LGS"/>
      <sheetName val="I20_LP"/>
      <sheetName val="I31A"/>
      <sheetName val="IS31B"/>
      <sheetName val="I45-9"/>
      <sheetName val="I45-19"/>
      <sheetName val="I46"/>
      <sheetName val="I62"/>
      <sheetName val="COS DEV"/>
      <sheetName val="TOU_diff"/>
      <sheetName val="Bill Compare&gt;&gt;"/>
      <sheetName val="I01_Base"/>
      <sheetName val="I05_Base"/>
      <sheetName val="I07_Base"/>
      <sheetName val="I09S_Base"/>
      <sheetName val="I09P_Base"/>
      <sheetName val="I19P_Base"/>
      <sheetName val="I24S_Base"/>
      <sheetName val="Support&gt;&gt;"/>
      <sheetName val="Revenue Allocation"/>
      <sheetName val="CCOS UCS"/>
      <sheetName val="CCOS UCS_T"/>
      <sheetName val="Revenue Forecast"/>
      <sheetName val="OtherBillDet"/>
      <sheetName val="Transfer Adj 1"/>
      <sheetName val="Transfer Adj 2"/>
      <sheetName val="I15.I41 Cost Study"/>
      <sheetName val="I15 Unit Cost"/>
      <sheetName val="I41 Unit Cost"/>
      <sheetName val="Light Support"/>
      <sheetName val="7vs9s"/>
      <sheetName val="Rev Check"/>
    </sheetNames>
    <sheetDataSet>
      <sheetData sheetId="0">
        <row r="7">
          <cell r="E7" t="str">
            <v>Idaho Power Company</v>
          </cell>
        </row>
        <row r="8">
          <cell r="E8" t="str">
            <v>State of Idaho</v>
          </cell>
        </row>
        <row r="9">
          <cell r="E9" t="str">
            <v>Calculation of Proposed Rates</v>
          </cell>
        </row>
        <row r="10">
          <cell r="E10" t="str">
            <v>Monthly Adjusted Base Revenue Comparison</v>
          </cell>
        </row>
        <row r="11">
          <cell r="E11" t="str">
            <v>Filed May 30, 2025</v>
          </cell>
        </row>
        <row r="12">
          <cell r="E12" t="str">
            <v>IPC-E-25-16</v>
          </cell>
        </row>
        <row r="17">
          <cell r="E17" t="str">
            <v>On</v>
          </cell>
        </row>
        <row r="18">
          <cell r="E18">
            <v>6</v>
          </cell>
        </row>
        <row r="19">
          <cell r="E19">
            <v>2</v>
          </cell>
        </row>
        <row r="23">
          <cell r="E23" t="str">
            <v>EIM</v>
          </cell>
        </row>
      </sheetData>
      <sheetData sheetId="1">
        <row r="29">
          <cell r="E29">
            <v>5842490072.6970348</v>
          </cell>
        </row>
        <row r="30">
          <cell r="G30">
            <v>17688957.136474065</v>
          </cell>
        </row>
      </sheetData>
      <sheetData sheetId="2">
        <row r="17">
          <cell r="F17">
            <v>15</v>
          </cell>
          <cell r="H17">
            <v>25</v>
          </cell>
        </row>
        <row r="20">
          <cell r="F20">
            <v>0.10177899999999999</v>
          </cell>
          <cell r="H20">
            <v>0.12568499999999999</v>
          </cell>
        </row>
        <row r="21">
          <cell r="F21">
            <v>0.12238</v>
          </cell>
          <cell r="H21">
            <v>0.13791999999999999</v>
          </cell>
        </row>
        <row r="22">
          <cell r="F22">
            <v>0.14538500000000001</v>
          </cell>
          <cell r="H22">
            <v>0.15157999999999999</v>
          </cell>
        </row>
        <row r="25">
          <cell r="F25">
            <v>8.9568999999999996E-2</v>
          </cell>
          <cell r="H25">
            <v>9.9581000000000003E-2</v>
          </cell>
        </row>
        <row r="26">
          <cell r="F26">
            <v>9.8750000000000004E-2</v>
          </cell>
          <cell r="H26">
            <v>0.10456699999999999</v>
          </cell>
        </row>
        <row r="27">
          <cell r="F27">
            <v>0.109361</v>
          </cell>
          <cell r="H27">
            <v>0.110331</v>
          </cell>
        </row>
      </sheetData>
      <sheetData sheetId="3"/>
      <sheetData sheetId="4"/>
      <sheetData sheetId="5"/>
      <sheetData sheetId="6">
        <row r="17">
          <cell r="F17">
            <v>15</v>
          </cell>
          <cell r="H17">
            <v>25</v>
          </cell>
        </row>
        <row r="20">
          <cell r="E20">
            <v>1017778.9218659179</v>
          </cell>
          <cell r="F20">
            <v>0.25295699999999999</v>
          </cell>
          <cell r="H20">
            <v>0.32296799999999998</v>
          </cell>
        </row>
        <row r="21">
          <cell r="E21">
            <v>1073980.3815413809</v>
          </cell>
          <cell r="F21">
            <v>0.12648000000000001</v>
          </cell>
          <cell r="H21">
            <v>0.16148399999999999</v>
          </cell>
        </row>
        <row r="22">
          <cell r="E22">
            <v>3741491.8808120908</v>
          </cell>
          <cell r="F22">
            <v>6.3241000000000006E-2</v>
          </cell>
          <cell r="H22">
            <v>8.0741999999999994E-2</v>
          </cell>
        </row>
        <row r="23">
          <cell r="E23">
            <v>5833251.1842193902</v>
          </cell>
        </row>
        <row r="25">
          <cell r="E25">
            <v>3016126.5952911722</v>
          </cell>
          <cell r="F25">
            <v>0.13114999999999999</v>
          </cell>
          <cell r="H25">
            <v>0.143396</v>
          </cell>
        </row>
        <row r="26">
          <cell r="E26">
            <v>9173696.8058450967</v>
          </cell>
          <cell r="F26">
            <v>8.7432999999999997E-2</v>
          </cell>
          <cell r="H26">
            <v>9.5597000000000001E-2</v>
          </cell>
        </row>
        <row r="27">
          <cell r="E27">
            <v>12189823.401136268</v>
          </cell>
        </row>
        <row r="28">
          <cell r="E28">
            <v>18023074.585355658</v>
          </cell>
        </row>
        <row r="29">
          <cell r="G29">
            <v>54567.383058345782</v>
          </cell>
        </row>
      </sheetData>
      <sheetData sheetId="7"/>
      <sheetData sheetId="8"/>
      <sheetData sheetId="9">
        <row r="17">
          <cell r="F17">
            <v>25</v>
          </cell>
          <cell r="H17">
            <v>30</v>
          </cell>
        </row>
        <row r="20">
          <cell r="F20">
            <v>7.4534000000000003E-2</v>
          </cell>
          <cell r="H20">
            <v>8.8802000000000006E-2</v>
          </cell>
        </row>
        <row r="21">
          <cell r="F21">
            <v>8.5176000000000002E-2</v>
          </cell>
          <cell r="H21">
            <v>0.10148500000000001</v>
          </cell>
        </row>
        <row r="24">
          <cell r="F24">
            <v>7.4534000000000003E-2</v>
          </cell>
          <cell r="H24">
            <v>8.8802000000000006E-2</v>
          </cell>
        </row>
        <row r="25">
          <cell r="F25">
            <v>7.4551999999999993E-2</v>
          </cell>
          <cell r="H25">
            <v>8.8827000000000003E-2</v>
          </cell>
        </row>
        <row r="27">
          <cell r="E27">
            <v>139928074.05730316</v>
          </cell>
        </row>
        <row r="28">
          <cell r="G28">
            <v>423651.84594398167</v>
          </cell>
        </row>
      </sheetData>
      <sheetData sheetId="10"/>
      <sheetData sheetId="11">
        <row r="17">
          <cell r="F17">
            <v>25</v>
          </cell>
          <cell r="H17">
            <v>30</v>
          </cell>
        </row>
        <row r="20">
          <cell r="E20">
            <v>15582929.577394061</v>
          </cell>
          <cell r="F20">
            <v>1.58</v>
          </cell>
          <cell r="H20">
            <v>2.0299999999999998</v>
          </cell>
        </row>
        <row r="22">
          <cell r="F22">
            <v>8.1199999999999992</v>
          </cell>
          <cell r="H22">
            <v>10.14</v>
          </cell>
        </row>
        <row r="23">
          <cell r="F23">
            <v>6.3900000000000006</v>
          </cell>
          <cell r="H23">
            <v>8.16</v>
          </cell>
        </row>
        <row r="24">
          <cell r="E24">
            <v>11544670.207680026</v>
          </cell>
        </row>
        <row r="26">
          <cell r="F26">
            <v>5.4658000000000005E-2</v>
          </cell>
          <cell r="H26">
            <v>5.4087999999999997E-2</v>
          </cell>
        </row>
        <row r="27">
          <cell r="F27">
            <v>5.2721000000000004E-2</v>
          </cell>
          <cell r="H27">
            <v>5.3803999999999998E-2</v>
          </cell>
        </row>
        <row r="28">
          <cell r="E28">
            <v>3404848961.15797</v>
          </cell>
        </row>
        <row r="29">
          <cell r="G29">
            <v>10308657.196012745</v>
          </cell>
        </row>
      </sheetData>
      <sheetData sheetId="12"/>
      <sheetData sheetId="13">
        <row r="17">
          <cell r="F17">
            <v>340</v>
          </cell>
          <cell r="H17">
            <v>360</v>
          </cell>
        </row>
        <row r="20">
          <cell r="E20">
            <v>2079364.1022279239</v>
          </cell>
          <cell r="F20">
            <v>1.83</v>
          </cell>
          <cell r="H20">
            <v>2.2200000000000002</v>
          </cell>
        </row>
        <row r="22">
          <cell r="E22">
            <v>476215.76500766235</v>
          </cell>
          <cell r="F22">
            <v>8.35</v>
          </cell>
          <cell r="H22">
            <v>11.04</v>
          </cell>
        </row>
        <row r="23">
          <cell r="F23">
            <v>7.91</v>
          </cell>
          <cell r="H23">
            <v>9.91</v>
          </cell>
        </row>
        <row r="24">
          <cell r="E24">
            <v>1674621.6396288248</v>
          </cell>
        </row>
        <row r="25">
          <cell r="E25">
            <v>468865.89549173141</v>
          </cell>
          <cell r="F25">
            <v>1.59</v>
          </cell>
          <cell r="H25">
            <v>2.1</v>
          </cell>
        </row>
        <row r="27">
          <cell r="E27">
            <v>32775131.363500401</v>
          </cell>
          <cell r="F27">
            <v>5.3936999999999999E-2</v>
          </cell>
          <cell r="H27">
            <v>6.6710000000000005E-2</v>
          </cell>
        </row>
        <row r="28">
          <cell r="E28">
            <v>46014976.487773724</v>
          </cell>
          <cell r="F28">
            <v>5.3936999999999999E-2</v>
          </cell>
          <cell r="H28">
            <v>5.5531999999999998E-2</v>
          </cell>
        </row>
        <row r="29">
          <cell r="E29">
            <v>161805090.06648365</v>
          </cell>
          <cell r="F29">
            <v>4.8346E-2</v>
          </cell>
          <cell r="H29">
            <v>4.3957000000000003E-2</v>
          </cell>
        </row>
        <row r="30">
          <cell r="E30">
            <v>240595197.91775778</v>
          </cell>
        </row>
        <row r="32">
          <cell r="E32">
            <v>93275038.833230942</v>
          </cell>
          <cell r="F32">
            <v>4.8994999999999997E-2</v>
          </cell>
          <cell r="H32">
            <v>5.4064000000000001E-2</v>
          </cell>
        </row>
        <row r="33">
          <cell r="E33">
            <v>96201361.379603326</v>
          </cell>
          <cell r="F33">
            <v>4.6579000000000002E-2</v>
          </cell>
          <cell r="H33">
            <v>4.9269E-2</v>
          </cell>
        </row>
        <row r="34">
          <cell r="E34">
            <v>224818193.42348692</v>
          </cell>
          <cell r="F34">
            <v>4.4649000000000001E-2</v>
          </cell>
          <cell r="H34">
            <v>4.5853999999999999E-2</v>
          </cell>
        </row>
        <row r="35">
          <cell r="E35">
            <v>414294593.63632119</v>
          </cell>
        </row>
        <row r="36">
          <cell r="E36">
            <v>654889791.55407894</v>
          </cell>
        </row>
        <row r="37">
          <cell r="G37">
            <v>1982770.5837474032</v>
          </cell>
        </row>
      </sheetData>
      <sheetData sheetId="14"/>
      <sheetData sheetId="15"/>
      <sheetData sheetId="16">
        <row r="17">
          <cell r="F17">
            <v>415</v>
          </cell>
          <cell r="H17">
            <v>490</v>
          </cell>
        </row>
        <row r="20">
          <cell r="E20">
            <v>4818509.7644133167</v>
          </cell>
          <cell r="F20">
            <v>2.21</v>
          </cell>
          <cell r="H20">
            <v>2.6</v>
          </cell>
        </row>
        <row r="22">
          <cell r="E22">
            <v>1468359.5976486274</v>
          </cell>
          <cell r="F22">
            <v>10.039999999999999</v>
          </cell>
          <cell r="H22">
            <v>13.09</v>
          </cell>
        </row>
        <row r="23">
          <cell r="F23">
            <v>8.64</v>
          </cell>
          <cell r="H23">
            <v>11.93</v>
          </cell>
        </row>
        <row r="24">
          <cell r="E24">
            <v>4273756.6298125517</v>
          </cell>
        </row>
        <row r="25">
          <cell r="E25">
            <v>1297942.818181844</v>
          </cell>
          <cell r="F25">
            <v>1.59</v>
          </cell>
          <cell r="H25">
            <v>2.0699999999999998</v>
          </cell>
        </row>
        <row r="27">
          <cell r="E27">
            <v>104043423.2575843</v>
          </cell>
          <cell r="F27">
            <v>5.2313999999999999E-2</v>
          </cell>
          <cell r="H27">
            <v>6.6358E-2</v>
          </cell>
        </row>
        <row r="28">
          <cell r="E28">
            <v>134487569.89006865</v>
          </cell>
          <cell r="F28">
            <v>5.2313999999999999E-2</v>
          </cell>
          <cell r="H28">
            <v>5.5114999999999997E-2</v>
          </cell>
        </row>
        <row r="29">
          <cell r="E29">
            <v>492482409.33962905</v>
          </cell>
          <cell r="F29">
            <v>4.6654999999999995E-2</v>
          </cell>
          <cell r="H29">
            <v>4.3473999999999999E-2</v>
          </cell>
        </row>
        <row r="30">
          <cell r="E30">
            <v>731013402.48728204</v>
          </cell>
        </row>
        <row r="32">
          <cell r="E32">
            <v>308030308.47303182</v>
          </cell>
          <cell r="F32">
            <v>4.7226999999999998E-2</v>
          </cell>
          <cell r="H32">
            <v>5.3897E-2</v>
          </cell>
        </row>
        <row r="33">
          <cell r="E33">
            <v>315781072.1390208</v>
          </cell>
          <cell r="F33">
            <v>4.4804999999999998E-2</v>
          </cell>
          <cell r="H33">
            <v>4.9043999999999997E-2</v>
          </cell>
        </row>
        <row r="34">
          <cell r="E34">
            <v>795765486.94291747</v>
          </cell>
          <cell r="F34">
            <v>4.2862999999999998E-2</v>
          </cell>
          <cell r="H34">
            <v>4.5588999999999998E-2</v>
          </cell>
        </row>
        <row r="35">
          <cell r="E35">
            <v>1419576867.5549703</v>
          </cell>
        </row>
        <row r="36">
          <cell r="E36">
            <v>2150590270.0422525</v>
          </cell>
        </row>
        <row r="50">
          <cell r="G50">
            <v>6511213.306626753</v>
          </cell>
        </row>
      </sheetData>
      <sheetData sheetId="17"/>
      <sheetData sheetId="18">
        <row r="18">
          <cell r="F18">
            <v>30</v>
          </cell>
        </row>
        <row r="19">
          <cell r="F19">
            <v>6</v>
          </cell>
        </row>
        <row r="22">
          <cell r="F22">
            <v>15.06</v>
          </cell>
        </row>
        <row r="23">
          <cell r="F23">
            <v>0</v>
          </cell>
        </row>
        <row r="25">
          <cell r="F25">
            <v>6.1295000000000002E-2</v>
          </cell>
        </row>
        <row r="26">
          <cell r="F26">
            <v>7.2052999999999992E-2</v>
          </cell>
        </row>
        <row r="27">
          <cell r="E27">
            <v>1770164054.5588167</v>
          </cell>
        </row>
        <row r="29">
          <cell r="H29">
            <v>35</v>
          </cell>
        </row>
        <row r="30">
          <cell r="H30">
            <v>9</v>
          </cell>
        </row>
        <row r="33">
          <cell r="H33">
            <v>18.75</v>
          </cell>
        </row>
        <row r="34">
          <cell r="H34">
            <v>0</v>
          </cell>
        </row>
        <row r="36">
          <cell r="H36">
            <v>7.4278999999999998E-2</v>
          </cell>
        </row>
        <row r="37">
          <cell r="H37">
            <v>8.2558000000000006E-2</v>
          </cell>
        </row>
        <row r="39">
          <cell r="G39">
            <v>5359419.6474855663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E69E-C4CA-4098-8CBD-A4AD64A2ABCC}">
  <sheetPr>
    <tabColor theme="3"/>
    <pageSetUpPr fitToPage="1"/>
  </sheetPr>
  <dimension ref="C3:XFD38"/>
  <sheetViews>
    <sheetView showGridLines="0" tabSelected="1" view="pageBreakPreview" topLeftCell="A3" zoomScale="130" zoomScaleNormal="100" zoomScaleSheetLayoutView="130" workbookViewId="0">
      <selection activeCell="C17" sqref="C17:N35"/>
    </sheetView>
  </sheetViews>
  <sheetFormatPr defaultColWidth="9.140625" defaultRowHeight="12" x14ac:dyDescent="0.2"/>
  <cols>
    <col min="1" max="2" width="1.7109375" style="1" customWidth="1"/>
    <col min="3" max="3" width="7.7109375" style="1" customWidth="1"/>
    <col min="4" max="4" width="9.7109375" style="1" customWidth="1"/>
    <col min="5" max="13" width="12.7109375" style="1" customWidth="1"/>
    <col min="14" max="14" width="9.7109375" style="1" customWidth="1"/>
    <col min="15" max="16" width="1.7109375" style="1" customWidth="1"/>
    <col min="17" max="17" width="15.7109375" style="1" customWidth="1"/>
    <col min="18" max="21" width="12.7109375" style="1" customWidth="1"/>
    <col min="22" max="16384" width="9.140625" style="1"/>
  </cols>
  <sheetData>
    <row r="3" spans="3:14 16384:16384" x14ac:dyDescent="0.2">
      <c r="C3" s="2" t="str">
        <f>+Company</f>
        <v>Idaho Power Company</v>
      </c>
      <c r="D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3:14 16384:16384" x14ac:dyDescent="0.2">
      <c r="C4" s="2" t="str">
        <f>+State</f>
        <v>State of Idaho</v>
      </c>
      <c r="D4" s="3"/>
      <c r="E4" s="4"/>
      <c r="F4" s="4"/>
      <c r="G4" s="4"/>
      <c r="H4" s="4"/>
      <c r="I4" s="4"/>
      <c r="J4" s="4"/>
      <c r="K4" s="4"/>
      <c r="L4" s="4"/>
      <c r="M4" s="4"/>
      <c r="N4" s="4"/>
    </row>
    <row r="5" spans="3:14 16384:16384" x14ac:dyDescent="0.2">
      <c r="C5" s="3" t="str">
        <f>+HeadingTitle2</f>
        <v>Monthly Adjusted Base Revenue Comparison</v>
      </c>
      <c r="D5" s="3"/>
      <c r="E5" s="4"/>
      <c r="F5" s="4"/>
      <c r="G5" s="4"/>
      <c r="H5" s="4"/>
      <c r="I5" s="4"/>
      <c r="J5" s="4"/>
      <c r="K5" s="4"/>
      <c r="L5" s="4"/>
      <c r="M5" s="4"/>
      <c r="N5" s="4"/>
    </row>
    <row r="6" spans="3:14 16384:16384" x14ac:dyDescent="0.2">
      <c r="C6" s="2" t="str">
        <f>+Version</f>
        <v>Filed May 30, 2025</v>
      </c>
      <c r="D6" s="3"/>
      <c r="E6" s="4"/>
      <c r="F6" s="4"/>
      <c r="G6" s="4"/>
      <c r="H6" s="4"/>
      <c r="I6" s="4"/>
      <c r="J6" s="4"/>
      <c r="K6" s="4"/>
      <c r="L6" s="4"/>
      <c r="M6" s="4"/>
      <c r="N6" s="4"/>
    </row>
    <row r="7" spans="3:14 16384:16384" x14ac:dyDescent="0.2">
      <c r="C7" s="2" t="str">
        <f>+Docket</f>
        <v>IPC-E-25-16</v>
      </c>
      <c r="D7" s="3"/>
      <c r="E7" s="4"/>
      <c r="F7" s="4"/>
      <c r="G7" s="4"/>
      <c r="H7" s="4"/>
      <c r="I7" s="4"/>
      <c r="J7" s="4"/>
      <c r="K7" s="4"/>
      <c r="L7" s="4"/>
      <c r="M7" s="4"/>
      <c r="N7" s="4"/>
    </row>
    <row r="8" spans="3:14 16384:16384" x14ac:dyDescent="0.2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</row>
    <row r="9" spans="3:14 16384:16384" x14ac:dyDescent="0.2">
      <c r="C9" s="3" t="s">
        <v>0</v>
      </c>
      <c r="D9" s="3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14 16384:16384" x14ac:dyDescent="0.2">
      <c r="C10" s="5" t="s">
        <v>1</v>
      </c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3:14 16384:16384" x14ac:dyDescent="0.2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3:14 16384:16384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</row>
    <row r="13" spans="3:14 16384:16384" s="9" customFormat="1" ht="18" customHeight="1" x14ac:dyDescent="0.35">
      <c r="E13" s="10" t="s">
        <v>14</v>
      </c>
      <c r="F13" s="10"/>
      <c r="G13" s="11"/>
      <c r="H13" s="10"/>
      <c r="I13" s="10" t="s">
        <v>15</v>
      </c>
      <c r="J13" s="10"/>
      <c r="K13" s="11"/>
      <c r="L13" s="10"/>
      <c r="M13" s="11" t="s">
        <v>16</v>
      </c>
      <c r="N13" s="10"/>
      <c r="XFD13" s="12" t="s">
        <v>17</v>
      </c>
    </row>
    <row r="14" spans="3:14 16384:16384" s="9" customFormat="1" ht="14.25" x14ac:dyDescent="0.35">
      <c r="C14" s="13" t="s">
        <v>18</v>
      </c>
      <c r="E14" s="10" t="s">
        <v>19</v>
      </c>
      <c r="F14" s="10"/>
      <c r="G14" s="10" t="s">
        <v>20</v>
      </c>
      <c r="H14" s="10"/>
      <c r="I14" s="10" t="s">
        <v>21</v>
      </c>
      <c r="J14" s="10"/>
      <c r="K14" s="10" t="s">
        <v>22</v>
      </c>
      <c r="L14" s="10"/>
      <c r="M14" s="10" t="s">
        <v>23</v>
      </c>
      <c r="N14" s="10"/>
      <c r="XFD14" s="12"/>
    </row>
    <row r="15" spans="3:14 16384:16384" s="9" customFormat="1" ht="16.5" customHeight="1" x14ac:dyDescent="0.35">
      <c r="C15" s="10" t="s">
        <v>24</v>
      </c>
      <c r="D15" s="10" t="s">
        <v>25</v>
      </c>
      <c r="E15" s="10" t="s">
        <v>26</v>
      </c>
      <c r="F15" s="10" t="s">
        <v>27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21</v>
      </c>
      <c r="N15" s="10" t="s">
        <v>22</v>
      </c>
    </row>
    <row r="16" spans="3:14 16384:16384" ht="5.0999999999999996" customHeight="1" x14ac:dyDescent="0.2"/>
    <row r="17" spans="3:24" ht="14.25" x14ac:dyDescent="0.35">
      <c r="C17" s="128">
        <v>1</v>
      </c>
      <c r="D17" s="129">
        <v>100</v>
      </c>
      <c r="E17" s="131">
        <f t="shared" ref="E17:E34" si="0">SUM($R$20,MIN($D17,800)*$R$21,IF($D17&lt;=2000,MAX(0,$D17-800)*$R$22,(2000-800)*$R$22),MAX(0,$D17-2000)*$R$23,$D17*R$24)</f>
        <v>25.48066400843431</v>
      </c>
      <c r="F17" s="131">
        <f t="shared" ref="F17:F34" si="1">SUM($S$20,MIN($D17,800)*$S$21,IF($D17&lt;=2000,MAX(0,$D17-800)*$S$22,(2000-800)*$S$22),MAX(0,$D17-2000)*$S$23,$D17*S$24)</f>
        <v>24.259664008434306</v>
      </c>
      <c r="G17" s="131">
        <f t="shared" ref="G17:G34" si="2">SUM($T$20,MIN($D17,800)*$T$21,IF($D17&lt;=2000,MAX(0,$D17-800)*$T$22,(2000-800)*$T$22),MAX(0,$D17-2000)*$T$23,$D17*T$24)</f>
        <v>37.5685</v>
      </c>
      <c r="H17" s="131">
        <f t="shared" ref="H17:H34" si="3">SUM($U$20,MIN($D17,800)*$U$21,IF($D17&lt;=2000,MAX(0,$D17-800)*$U$22,(2000-800)*$U$22),MAX(0,$D17-2000)*$U$23,$D17*U$24)</f>
        <v>34.958100000000002</v>
      </c>
      <c r="I17" s="131">
        <f>+G17-E17</f>
        <v>12.08783599156569</v>
      </c>
      <c r="J17" s="131">
        <f t="shared" ref="I17:J32" si="4">+H17-F17</f>
        <v>10.698435991565695</v>
      </c>
      <c r="K17" s="132">
        <f t="shared" ref="K17:L32" si="5">+G17/E17-1</f>
        <v>0.47439250356915807</v>
      </c>
      <c r="L17" s="132">
        <f t="shared" si="5"/>
        <v>0.44099687398169207</v>
      </c>
      <c r="M17" s="131">
        <f>(G17*4+H17*8-E17*4-F17*8)/12</f>
        <v>11.161569324899029</v>
      </c>
      <c r="N17" s="132">
        <f>+M17/((E17*4+F17*8)/12)</f>
        <v>0.45249610247589767</v>
      </c>
      <c r="Q17" s="16"/>
      <c r="R17" s="17" t="s">
        <v>28</v>
      </c>
      <c r="S17" s="17"/>
      <c r="T17" s="17" t="s">
        <v>20</v>
      </c>
      <c r="U17" s="18"/>
    </row>
    <row r="18" spans="3:24" ht="14.25" x14ac:dyDescent="0.35">
      <c r="C18" s="128">
        <f>+IF(D18="","",MAX($C$16:C17)+1)</f>
        <v>2</v>
      </c>
      <c r="D18" s="129">
        <f t="shared" ref="D18:D24" si="6">+D17+100</f>
        <v>200</v>
      </c>
      <c r="E18" s="19">
        <f t="shared" si="0"/>
        <v>35.96132801686862</v>
      </c>
      <c r="F18" s="19">
        <f t="shared" si="1"/>
        <v>33.519328016868613</v>
      </c>
      <c r="G18" s="19">
        <f t="shared" si="2"/>
        <v>50.137</v>
      </c>
      <c r="H18" s="19">
        <f t="shared" si="3"/>
        <v>44.916200000000003</v>
      </c>
      <c r="I18" s="19">
        <f t="shared" si="4"/>
        <v>14.17567198313138</v>
      </c>
      <c r="J18" s="19">
        <f t="shared" si="4"/>
        <v>11.39687198313139</v>
      </c>
      <c r="K18" s="132">
        <f t="shared" si="5"/>
        <v>0.39419211594415815</v>
      </c>
      <c r="L18" s="132">
        <f t="shared" si="5"/>
        <v>0.340008963705833</v>
      </c>
      <c r="M18" s="19">
        <f t="shared" ref="M18:M34" si="7">(G18*4+H18*8-E18*4-F18*8)/12</f>
        <v>12.323138649798054</v>
      </c>
      <c r="N18" s="132">
        <f t="shared" ref="N18:N34" si="8">+M18/((E18*4+F18*8)/12)</f>
        <v>0.35892642401993374</v>
      </c>
      <c r="Q18" s="20"/>
      <c r="R18" s="10" t="s">
        <v>26</v>
      </c>
      <c r="S18" s="10" t="s">
        <v>27</v>
      </c>
      <c r="T18" s="10" t="s">
        <v>26</v>
      </c>
      <c r="U18" s="21" t="s">
        <v>27</v>
      </c>
    </row>
    <row r="19" spans="3:24" x14ac:dyDescent="0.2">
      <c r="C19" s="128">
        <f>+IF(D19="","",MAX($C$16:C18)+1)</f>
        <v>3</v>
      </c>
      <c r="D19" s="129">
        <f t="shared" si="6"/>
        <v>300</v>
      </c>
      <c r="E19" s="19">
        <f t="shared" si="0"/>
        <v>46.441992025302923</v>
      </c>
      <c r="F19" s="19">
        <f t="shared" si="1"/>
        <v>42.778992025302927</v>
      </c>
      <c r="G19" s="19">
        <f t="shared" si="2"/>
        <v>62.705500000000001</v>
      </c>
      <c r="H19" s="19">
        <f t="shared" si="3"/>
        <v>54.874300000000005</v>
      </c>
      <c r="I19" s="19">
        <f t="shared" si="4"/>
        <v>16.263507974697077</v>
      </c>
      <c r="J19" s="19">
        <f t="shared" si="4"/>
        <v>12.095307974697079</v>
      </c>
      <c r="K19" s="132">
        <f t="shared" si="5"/>
        <v>0.35018971550221734</v>
      </c>
      <c r="L19" s="132">
        <f t="shared" si="5"/>
        <v>0.28273943358793829</v>
      </c>
      <c r="M19" s="19">
        <f t="shared" si="7"/>
        <v>13.484707974697079</v>
      </c>
      <c r="N19" s="132">
        <f t="shared" si="8"/>
        <v>0.30647069133427285</v>
      </c>
      <c r="Q19" s="22"/>
      <c r="U19" s="23"/>
      <c r="V19" s="24"/>
      <c r="W19" s="24"/>
      <c r="X19" s="24"/>
    </row>
    <row r="20" spans="3:24" x14ac:dyDescent="0.2">
      <c r="C20" s="128">
        <f>+IF(D20="","",MAX($C$16:C19)+1)</f>
        <v>4</v>
      </c>
      <c r="D20" s="129">
        <f t="shared" si="6"/>
        <v>400</v>
      </c>
      <c r="E20" s="19">
        <f t="shared" si="0"/>
        <v>56.922656033737226</v>
      </c>
      <c r="F20" s="19">
        <f t="shared" si="1"/>
        <v>52.038656033737226</v>
      </c>
      <c r="G20" s="19">
        <f t="shared" si="2"/>
        <v>75.274000000000001</v>
      </c>
      <c r="H20" s="19">
        <f t="shared" si="3"/>
        <v>64.832400000000007</v>
      </c>
      <c r="I20" s="19">
        <f t="shared" si="4"/>
        <v>18.351343966262775</v>
      </c>
      <c r="J20" s="19">
        <f t="shared" si="4"/>
        <v>12.793743966262781</v>
      </c>
      <c r="K20" s="132">
        <f t="shared" si="5"/>
        <v>0.322390858841622</v>
      </c>
      <c r="L20" s="132">
        <f t="shared" si="5"/>
        <v>0.24585077596870408</v>
      </c>
      <c r="M20" s="19">
        <f t="shared" si="7"/>
        <v>14.646277299596116</v>
      </c>
      <c r="N20" s="132">
        <f t="shared" si="8"/>
        <v>0.27291205344318126</v>
      </c>
      <c r="Q20" s="22" t="s">
        <v>29</v>
      </c>
      <c r="R20" s="25">
        <f>[1]I01!F17</f>
        <v>15</v>
      </c>
      <c r="S20" s="25">
        <f>[1]I01!F17</f>
        <v>15</v>
      </c>
      <c r="T20" s="25">
        <f>[1]I01!H17</f>
        <v>25</v>
      </c>
      <c r="U20" s="26">
        <f>[1]I01!H17</f>
        <v>25</v>
      </c>
      <c r="V20" s="24"/>
      <c r="W20" s="24"/>
      <c r="X20" s="24"/>
    </row>
    <row r="21" spans="3:24" x14ac:dyDescent="0.2">
      <c r="C21" s="128">
        <f>+IF(D21="","",MAX($C$16:C20)+1)</f>
        <v>5</v>
      </c>
      <c r="D21" s="129">
        <f t="shared" si="6"/>
        <v>500</v>
      </c>
      <c r="E21" s="19">
        <f t="shared" si="0"/>
        <v>67.403320042171543</v>
      </c>
      <c r="F21" s="19">
        <f t="shared" si="1"/>
        <v>61.29832004217154</v>
      </c>
      <c r="G21" s="19">
        <f t="shared" si="2"/>
        <v>87.842500000000001</v>
      </c>
      <c r="H21" s="19">
        <f t="shared" si="3"/>
        <v>74.790500000000009</v>
      </c>
      <c r="I21" s="19">
        <f t="shared" si="4"/>
        <v>20.439179957828458</v>
      </c>
      <c r="J21" s="19">
        <f t="shared" si="4"/>
        <v>13.492179957828469</v>
      </c>
      <c r="K21" s="132">
        <f t="shared" si="5"/>
        <v>0.30323699107166369</v>
      </c>
      <c r="L21" s="132">
        <f t="shared" si="5"/>
        <v>0.2201068471133667</v>
      </c>
      <c r="M21" s="19">
        <f t="shared" si="7"/>
        <v>15.807846624495133</v>
      </c>
      <c r="N21" s="132">
        <f t="shared" si="8"/>
        <v>0.24959763066217303</v>
      </c>
      <c r="Q21" s="22" t="s">
        <v>30</v>
      </c>
      <c r="R21" s="27">
        <f>[1]I01!F20</f>
        <v>0.10177899999999999</v>
      </c>
      <c r="S21" s="27">
        <f>[1]I01!F25</f>
        <v>8.9568999999999996E-2</v>
      </c>
      <c r="T21" s="27">
        <f>[1]I01!H20</f>
        <v>0.12568499999999999</v>
      </c>
      <c r="U21" s="28">
        <f>[1]I01!H25</f>
        <v>9.9581000000000003E-2</v>
      </c>
    </row>
    <row r="22" spans="3:24" x14ac:dyDescent="0.2">
      <c r="C22" s="128">
        <f>+IF(D22="","",MAX($C$16:C21)+1)</f>
        <v>6</v>
      </c>
      <c r="D22" s="129">
        <f t="shared" si="6"/>
        <v>600</v>
      </c>
      <c r="E22" s="19">
        <f t="shared" si="0"/>
        <v>77.883984050605847</v>
      </c>
      <c r="F22" s="19">
        <f t="shared" si="1"/>
        <v>70.557984050605853</v>
      </c>
      <c r="G22" s="19">
        <f t="shared" si="2"/>
        <v>100.411</v>
      </c>
      <c r="H22" s="19">
        <f t="shared" si="3"/>
        <v>84.74860000000001</v>
      </c>
      <c r="I22" s="19">
        <f t="shared" si="4"/>
        <v>22.527015949394155</v>
      </c>
      <c r="J22" s="19">
        <f t="shared" si="4"/>
        <v>14.190615949394157</v>
      </c>
      <c r="K22" s="132">
        <f t="shared" si="5"/>
        <v>0.28923810490687041</v>
      </c>
      <c r="L22" s="132">
        <f t="shared" si="5"/>
        <v>0.2011199177575187</v>
      </c>
      <c r="M22" s="19">
        <f t="shared" si="7"/>
        <v>16.969415949394158</v>
      </c>
      <c r="N22" s="132">
        <f t="shared" si="8"/>
        <v>0.23245780351993547</v>
      </c>
      <c r="Q22" s="22" t="s">
        <v>31</v>
      </c>
      <c r="R22" s="29">
        <f>[1]I01!F21</f>
        <v>0.12238</v>
      </c>
      <c r="S22" s="27">
        <f>[1]I01!F26</f>
        <v>9.8750000000000004E-2</v>
      </c>
      <c r="T22" s="27">
        <f>[1]I01!H21</f>
        <v>0.13791999999999999</v>
      </c>
      <c r="U22" s="28">
        <f>[1]I01!H26</f>
        <v>0.10456699999999999</v>
      </c>
    </row>
    <row r="23" spans="3:24" x14ac:dyDescent="0.2">
      <c r="C23" s="128">
        <f>+IF(D23="","",MAX($C$16:C22)+1)</f>
        <v>7</v>
      </c>
      <c r="D23" s="129">
        <f t="shared" si="6"/>
        <v>700</v>
      </c>
      <c r="E23" s="19">
        <f t="shared" si="0"/>
        <v>88.364648059040164</v>
      </c>
      <c r="F23" s="19">
        <f t="shared" si="1"/>
        <v>79.817648059040152</v>
      </c>
      <c r="G23" s="19">
        <f t="shared" si="2"/>
        <v>112.97949999999999</v>
      </c>
      <c r="H23" s="19">
        <f t="shared" si="3"/>
        <v>94.706699999999998</v>
      </c>
      <c r="I23" s="19">
        <f t="shared" si="4"/>
        <v>24.614851940959824</v>
      </c>
      <c r="J23" s="19">
        <f t="shared" si="4"/>
        <v>14.889051940959845</v>
      </c>
      <c r="K23" s="132">
        <f t="shared" si="5"/>
        <v>0.27855994995321653</v>
      </c>
      <c r="L23" s="132">
        <f t="shared" si="5"/>
        <v>0.18653834462707541</v>
      </c>
      <c r="M23" s="19">
        <f t="shared" si="7"/>
        <v>18.13098527429317</v>
      </c>
      <c r="N23" s="132">
        <f t="shared" si="8"/>
        <v>0.21932648413836861</v>
      </c>
      <c r="Q23" s="22" t="s">
        <v>32</v>
      </c>
      <c r="R23" s="29">
        <f>[1]I01!F22</f>
        <v>0.14538500000000001</v>
      </c>
      <c r="S23" s="27">
        <f>[1]I01!F27</f>
        <v>0.109361</v>
      </c>
      <c r="T23" s="27">
        <f>[1]I01!H22</f>
        <v>0.15157999999999999</v>
      </c>
      <c r="U23" s="28">
        <f>[1]I01!H27</f>
        <v>0.110331</v>
      </c>
    </row>
    <row r="24" spans="3:24" x14ac:dyDescent="0.2">
      <c r="C24" s="128">
        <f>+IF(D24="","",MAX($C$16:C23)+1)</f>
        <v>8</v>
      </c>
      <c r="D24" s="129">
        <f t="shared" si="6"/>
        <v>800</v>
      </c>
      <c r="E24" s="19">
        <f t="shared" si="0"/>
        <v>98.845312067474453</v>
      </c>
      <c r="F24" s="19">
        <f t="shared" si="1"/>
        <v>89.077312067474452</v>
      </c>
      <c r="G24" s="19">
        <f t="shared" si="2"/>
        <v>125.54799999999999</v>
      </c>
      <c r="H24" s="19">
        <f t="shared" si="3"/>
        <v>104.6648</v>
      </c>
      <c r="I24" s="19">
        <f t="shared" si="4"/>
        <v>26.702687932525535</v>
      </c>
      <c r="J24" s="19">
        <f t="shared" si="4"/>
        <v>15.587487932525548</v>
      </c>
      <c r="K24" s="132">
        <f t="shared" si="5"/>
        <v>0.27014622518767073</v>
      </c>
      <c r="L24" s="132">
        <f t="shared" si="5"/>
        <v>0.17498830589677317</v>
      </c>
      <c r="M24" s="19">
        <f t="shared" si="7"/>
        <v>19.292554599192204</v>
      </c>
      <c r="N24" s="132">
        <f t="shared" si="8"/>
        <v>0.20894468277162828</v>
      </c>
      <c r="Q24" s="30" t="s">
        <v>33</v>
      </c>
      <c r="R24" s="31">
        <f>'[1]I01+I06'!G30/'[1]I01+I06'!E29</f>
        <v>3.0276400843430814E-3</v>
      </c>
      <c r="S24" s="31">
        <f>+R24</f>
        <v>3.0276400843430814E-3</v>
      </c>
      <c r="T24" s="32">
        <v>0</v>
      </c>
      <c r="U24" s="33">
        <v>0</v>
      </c>
    </row>
    <row r="25" spans="3:24" x14ac:dyDescent="0.2">
      <c r="C25" s="128">
        <f>+IF(D25="","",MAX($C$16:C24)+1)</f>
        <v>9</v>
      </c>
      <c r="D25" s="129">
        <f>+D24+100</f>
        <v>900</v>
      </c>
      <c r="E25" s="19">
        <f t="shared" si="0"/>
        <v>111.38607607590876</v>
      </c>
      <c r="F25" s="19">
        <f t="shared" si="1"/>
        <v>99.255076075908761</v>
      </c>
      <c r="G25" s="19">
        <f t="shared" si="2"/>
        <v>139.33999999999997</v>
      </c>
      <c r="H25" s="19">
        <f t="shared" si="3"/>
        <v>115.1215</v>
      </c>
      <c r="I25" s="19">
        <f t="shared" si="4"/>
        <v>27.953923924091214</v>
      </c>
      <c r="J25" s="19">
        <f t="shared" si="4"/>
        <v>15.866423924091237</v>
      </c>
      <c r="K25" s="132">
        <f t="shared" si="5"/>
        <v>0.25096425791174148</v>
      </c>
      <c r="L25" s="132">
        <f t="shared" si="5"/>
        <v>0.15985503766030917</v>
      </c>
      <c r="M25" s="19">
        <f t="shared" si="7"/>
        <v>19.895590590757894</v>
      </c>
      <c r="N25" s="132">
        <f t="shared" si="8"/>
        <v>0.19260244667583706</v>
      </c>
    </row>
    <row r="26" spans="3:24" x14ac:dyDescent="0.2">
      <c r="C26" s="128">
        <f>+IF(D26="","",MAX($C$16:C25)+1)</f>
        <v>10</v>
      </c>
      <c r="D26" s="129">
        <v>1000</v>
      </c>
      <c r="E26" s="19">
        <f t="shared" si="0"/>
        <v>123.92684008434307</v>
      </c>
      <c r="F26" s="19">
        <f t="shared" si="1"/>
        <v>109.43284008434307</v>
      </c>
      <c r="G26" s="19">
        <f t="shared" si="2"/>
        <v>153.13199999999998</v>
      </c>
      <c r="H26" s="19">
        <f t="shared" si="3"/>
        <v>125.5782</v>
      </c>
      <c r="I26" s="19">
        <f t="shared" si="4"/>
        <v>29.205159915656907</v>
      </c>
      <c r="J26" s="19">
        <f t="shared" si="4"/>
        <v>16.145359915656925</v>
      </c>
      <c r="K26" s="132">
        <f t="shared" si="5"/>
        <v>0.2356645251002949</v>
      </c>
      <c r="L26" s="132">
        <f t="shared" si="5"/>
        <v>0.14753669833674454</v>
      </c>
      <c r="M26" s="19">
        <f t="shared" si="7"/>
        <v>20.498626582323595</v>
      </c>
      <c r="N26" s="132">
        <f t="shared" si="8"/>
        <v>0.17939679576899212</v>
      </c>
      <c r="Q26" s="34">
        <v>900</v>
      </c>
      <c r="R26" s="35" t="s">
        <v>34</v>
      </c>
      <c r="S26" s="35" t="s">
        <v>20</v>
      </c>
      <c r="T26" s="35" t="s">
        <v>15</v>
      </c>
      <c r="U26" s="36"/>
    </row>
    <row r="27" spans="3:24" x14ac:dyDescent="0.2">
      <c r="C27" s="128">
        <f>+IF(D27="","",MAX($C$16:C26)+1)</f>
        <v>11</v>
      </c>
      <c r="D27" s="129">
        <f>+D26+200</f>
        <v>1200</v>
      </c>
      <c r="E27" s="19">
        <f t="shared" si="0"/>
        <v>149.00836810121172</v>
      </c>
      <c r="F27" s="19">
        <f t="shared" si="1"/>
        <v>129.78836810121169</v>
      </c>
      <c r="G27" s="19">
        <f t="shared" si="2"/>
        <v>180.71599999999998</v>
      </c>
      <c r="H27" s="19">
        <f t="shared" si="3"/>
        <v>146.49160000000001</v>
      </c>
      <c r="I27" s="19">
        <f t="shared" si="4"/>
        <v>31.707631898788264</v>
      </c>
      <c r="J27" s="19">
        <f t="shared" si="4"/>
        <v>16.703231898788317</v>
      </c>
      <c r="K27" s="132">
        <f t="shared" si="5"/>
        <v>0.21279094793690589</v>
      </c>
      <c r="L27" s="132">
        <f t="shared" si="5"/>
        <v>0.12869590813995591</v>
      </c>
      <c r="M27" s="19">
        <f t="shared" si="7"/>
        <v>21.704698565454976</v>
      </c>
      <c r="N27" s="132">
        <f t="shared" si="8"/>
        <v>0.15936483002076399</v>
      </c>
      <c r="Q27" s="37" t="s">
        <v>35</v>
      </c>
      <c r="R27" s="38">
        <f>ROUND(+SUM(INDEX(E$17:E$34,MATCH($Q$26,$D$17:$D$34,0))*4,INDEX(F$17:F$34,MATCH($Q$26,$D$17:$D$34,0))*8)/12,2)</f>
        <v>103.3</v>
      </c>
      <c r="S27" s="38">
        <f>ROUND(+SUM(INDEX(G$17:G$34,MATCH($Q$26,$D$17:$D$34,0))*4,INDEX(H$17:H$34,MATCH($Q$26,$D$17:$D$34,0))*8)/12,2)</f>
        <v>123.19</v>
      </c>
      <c r="T27" s="39">
        <f>+S27-R27</f>
        <v>19.89</v>
      </c>
      <c r="U27" s="40">
        <f>+S27/R27-1</f>
        <v>0.1925459825750242</v>
      </c>
    </row>
    <row r="28" spans="3:24" x14ac:dyDescent="0.2">
      <c r="C28" s="128">
        <f>+IF(D28="","",MAX($C$16:C27)+1)</f>
        <v>12</v>
      </c>
      <c r="D28" s="129">
        <f>+D27+200</f>
        <v>1400</v>
      </c>
      <c r="E28" s="19">
        <f t="shared" si="0"/>
        <v>174.08989611808033</v>
      </c>
      <c r="F28" s="19">
        <f t="shared" si="1"/>
        <v>150.14389611808031</v>
      </c>
      <c r="G28" s="19">
        <f t="shared" si="2"/>
        <v>208.29999999999998</v>
      </c>
      <c r="H28" s="19">
        <f t="shared" si="3"/>
        <v>167.405</v>
      </c>
      <c r="I28" s="19">
        <f t="shared" si="4"/>
        <v>34.21010388191965</v>
      </c>
      <c r="J28" s="19">
        <f t="shared" si="4"/>
        <v>17.261103881919695</v>
      </c>
      <c r="K28" s="132">
        <f t="shared" si="5"/>
        <v>0.19650826753734107</v>
      </c>
      <c r="L28" s="132">
        <f t="shared" si="5"/>
        <v>0.11496374030646406</v>
      </c>
      <c r="M28" s="19">
        <f t="shared" si="7"/>
        <v>22.910770548586356</v>
      </c>
      <c r="N28" s="132">
        <f t="shared" si="8"/>
        <v>0.14488942741850308</v>
      </c>
    </row>
    <row r="29" spans="3:24" x14ac:dyDescent="0.2">
      <c r="C29" s="128">
        <f>+IF(D29="","",MAX($C$16:C28)+1)</f>
        <v>13</v>
      </c>
      <c r="D29" s="129">
        <f>+D28+200</f>
        <v>1600</v>
      </c>
      <c r="E29" s="19">
        <f t="shared" si="0"/>
        <v>199.17142413494892</v>
      </c>
      <c r="F29" s="19">
        <f t="shared" si="1"/>
        <v>170.4994241349489</v>
      </c>
      <c r="G29" s="19">
        <f t="shared" si="2"/>
        <v>235.88399999999996</v>
      </c>
      <c r="H29" s="19">
        <f t="shared" si="3"/>
        <v>188.3184</v>
      </c>
      <c r="I29" s="19">
        <f t="shared" si="4"/>
        <v>36.712575865051036</v>
      </c>
      <c r="J29" s="19">
        <f t="shared" si="4"/>
        <v>17.818975865051101</v>
      </c>
      <c r="K29" s="132">
        <f t="shared" si="5"/>
        <v>0.18432652186177245</v>
      </c>
      <c r="L29" s="132">
        <f t="shared" si="5"/>
        <v>0.10451047536059432</v>
      </c>
      <c r="M29" s="19">
        <f t="shared" si="7"/>
        <v>24.116842531717776</v>
      </c>
      <c r="N29" s="132">
        <f t="shared" si="8"/>
        <v>0.13394022457594271</v>
      </c>
    </row>
    <row r="30" spans="3:24" x14ac:dyDescent="0.2">
      <c r="C30" s="128">
        <f>+IF(D30="","",MAX($C$16:C29)+1)</f>
        <v>14</v>
      </c>
      <c r="D30" s="129">
        <f>+D29+200</f>
        <v>1800</v>
      </c>
      <c r="E30" s="19">
        <f t="shared" si="0"/>
        <v>224.25295215181754</v>
      </c>
      <c r="F30" s="19">
        <f t="shared" si="1"/>
        <v>190.85495215181751</v>
      </c>
      <c r="G30" s="19">
        <f t="shared" si="2"/>
        <v>263.46799999999996</v>
      </c>
      <c r="H30" s="19">
        <f t="shared" si="3"/>
        <v>209.23179999999999</v>
      </c>
      <c r="I30" s="19">
        <f t="shared" si="4"/>
        <v>39.215047848182422</v>
      </c>
      <c r="J30" s="19">
        <f t="shared" si="4"/>
        <v>18.376847848182479</v>
      </c>
      <c r="K30" s="132">
        <f t="shared" si="5"/>
        <v>0.17486970615947173</v>
      </c>
      <c r="L30" s="132">
        <f t="shared" si="5"/>
        <v>9.6286984649811114E-2</v>
      </c>
      <c r="M30" s="19">
        <f t="shared" si="7"/>
        <v>25.322914514849099</v>
      </c>
      <c r="N30" s="132">
        <f t="shared" si="8"/>
        <v>0.12536864716250501</v>
      </c>
    </row>
    <row r="31" spans="3:24" x14ac:dyDescent="0.2">
      <c r="C31" s="128">
        <f>+IF(D31="","",MAX($C$16:C30)+1)</f>
        <v>15</v>
      </c>
      <c r="D31" s="129">
        <f>+D30+200</f>
        <v>2000</v>
      </c>
      <c r="E31" s="19">
        <f t="shared" si="0"/>
        <v>249.33448016868616</v>
      </c>
      <c r="F31" s="19">
        <f t="shared" si="1"/>
        <v>211.21048016868613</v>
      </c>
      <c r="G31" s="19">
        <f t="shared" si="2"/>
        <v>291.05199999999996</v>
      </c>
      <c r="H31" s="19">
        <f t="shared" si="3"/>
        <v>230.14519999999999</v>
      </c>
      <c r="I31" s="19">
        <f t="shared" si="4"/>
        <v>41.717519831313808</v>
      </c>
      <c r="J31" s="19">
        <f t="shared" si="4"/>
        <v>18.934719831313856</v>
      </c>
      <c r="K31" s="132">
        <f t="shared" si="5"/>
        <v>0.16731548642245553</v>
      </c>
      <c r="L31" s="132">
        <f t="shared" si="5"/>
        <v>8.9648580961471991E-2</v>
      </c>
      <c r="M31" s="19">
        <f t="shared" si="7"/>
        <v>26.528986497980537</v>
      </c>
      <c r="N31" s="132">
        <f t="shared" si="8"/>
        <v>0.11847609218316979</v>
      </c>
    </row>
    <row r="32" spans="3:24" x14ac:dyDescent="0.2">
      <c r="C32" s="128">
        <f>+IF(D32="","",MAX($C$16:C31)+1)</f>
        <v>16</v>
      </c>
      <c r="D32" s="129">
        <f>+D31+500</f>
        <v>2500</v>
      </c>
      <c r="E32" s="19">
        <f t="shared" si="0"/>
        <v>323.5408002108577</v>
      </c>
      <c r="F32" s="19">
        <f t="shared" si="1"/>
        <v>267.40480021085767</v>
      </c>
      <c r="G32" s="19">
        <f t="shared" si="2"/>
        <v>366.84199999999998</v>
      </c>
      <c r="H32" s="19">
        <f t="shared" si="3"/>
        <v>285.3107</v>
      </c>
      <c r="I32" s="19">
        <f t="shared" si="4"/>
        <v>43.301199789142288</v>
      </c>
      <c r="J32" s="19">
        <f t="shared" si="4"/>
        <v>17.905899789142325</v>
      </c>
      <c r="K32" s="132">
        <f t="shared" si="5"/>
        <v>0.13383536098359805</v>
      </c>
      <c r="L32" s="132">
        <f t="shared" si="5"/>
        <v>6.6961773965998006E-2</v>
      </c>
      <c r="M32" s="19">
        <f t="shared" si="7"/>
        <v>26.370999789142314</v>
      </c>
      <c r="N32" s="132">
        <f t="shared" si="8"/>
        <v>9.2168651997044035E-2</v>
      </c>
    </row>
    <row r="33" spans="3:14" x14ac:dyDescent="0.2">
      <c r="C33" s="128">
        <f>+IF(D33="","",MAX($C$16:C32)+1)</f>
        <v>17</v>
      </c>
      <c r="D33" s="129">
        <f>+D32+500</f>
        <v>3000</v>
      </c>
      <c r="E33" s="19">
        <f t="shared" si="0"/>
        <v>397.74712025302927</v>
      </c>
      <c r="F33" s="19">
        <f t="shared" si="1"/>
        <v>323.59912025302924</v>
      </c>
      <c r="G33" s="19">
        <f t="shared" si="2"/>
        <v>442.63199999999995</v>
      </c>
      <c r="H33" s="19">
        <f t="shared" si="3"/>
        <v>340.47620000000001</v>
      </c>
      <c r="I33" s="19">
        <f>+G33-E33</f>
        <v>44.884879746970682</v>
      </c>
      <c r="J33" s="19">
        <f>+H33-F33</f>
        <v>16.877079746970765</v>
      </c>
      <c r="K33" s="132">
        <f>+G33/E33-1</f>
        <v>0.11284778056574463</v>
      </c>
      <c r="L33" s="132">
        <f>+H33/F33-1</f>
        <v>5.2154281920711698E-2</v>
      </c>
      <c r="M33" s="19">
        <f t="shared" si="7"/>
        <v>26.213013080304069</v>
      </c>
      <c r="N33" s="132">
        <f t="shared" si="8"/>
        <v>7.5256604023569096E-2</v>
      </c>
    </row>
    <row r="34" spans="3:14" x14ac:dyDescent="0.2">
      <c r="C34" s="128">
        <f>+IF(D34="","",MAX($C$16:C33)+1)</f>
        <v>18</v>
      </c>
      <c r="D34" s="129">
        <f>+D33+2000</f>
        <v>5000</v>
      </c>
      <c r="E34" s="19">
        <f t="shared" si="0"/>
        <v>694.57240042171543</v>
      </c>
      <c r="F34" s="19">
        <f t="shared" si="1"/>
        <v>548.3764004217154</v>
      </c>
      <c r="G34" s="19">
        <f t="shared" si="2"/>
        <v>745.79199999999992</v>
      </c>
      <c r="H34" s="19">
        <f t="shared" si="3"/>
        <v>561.13819999999998</v>
      </c>
      <c r="I34" s="19">
        <f>+G34-E34</f>
        <v>51.219599578284488</v>
      </c>
      <c r="J34" s="19">
        <f>+H34-F34</f>
        <v>12.761799578284581</v>
      </c>
      <c r="K34" s="132">
        <f>+G34/E34-1</f>
        <v>7.3742635824841418E-2</v>
      </c>
      <c r="L34" s="132">
        <f>+H34/F34-1</f>
        <v>2.3271970800476494E-2</v>
      </c>
      <c r="M34" s="19">
        <f t="shared" si="7"/>
        <v>25.581066244951217</v>
      </c>
      <c r="N34" s="132">
        <f t="shared" si="8"/>
        <v>4.2841578224128589E-2</v>
      </c>
    </row>
    <row r="35" spans="3:14" ht="12.75" thickBot="1" x14ac:dyDescent="0.25"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</row>
    <row r="36" spans="3:14" ht="12.75" thickTop="1" x14ac:dyDescent="0.2"/>
    <row r="37" spans="3:14" ht="16.5" customHeight="1" x14ac:dyDescent="0.2"/>
    <row r="38" spans="3:14" x14ac:dyDescent="0.2">
      <c r="M38" s="15"/>
    </row>
  </sheetData>
  <printOptions horizontalCentered="1"/>
  <pageMargins left="0.25" right="0.25" top="0.5" bottom="0.5" header="0.3" footer="0.3"/>
  <pageSetup fitToHeight="0" orientation="landscape" r:id="rId1"/>
  <headerFooter scaleWithDoc="0">
    <oddFooter>&amp;R&amp;10Exhibit No. 45
Case No. IPC-E-25-16
G. Anderson, IPC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2DB9-B34C-4BA3-BC80-7E424133D092}">
  <sheetPr>
    <tabColor theme="3"/>
    <pageSetUpPr fitToPage="1"/>
  </sheetPr>
  <dimension ref="C1:XFD38"/>
  <sheetViews>
    <sheetView showGridLines="0" view="pageBreakPreview" topLeftCell="D3" zoomScale="130" zoomScaleNormal="100" zoomScaleSheetLayoutView="130" workbookViewId="0">
      <selection activeCell="D17" sqref="D17:N34"/>
    </sheetView>
  </sheetViews>
  <sheetFormatPr defaultColWidth="9.140625" defaultRowHeight="12" x14ac:dyDescent="0.2"/>
  <cols>
    <col min="1" max="2" width="1.7109375" style="9" customWidth="1"/>
    <col min="3" max="3" width="7.7109375" style="9" customWidth="1"/>
    <col min="4" max="4" width="9.7109375" style="9" customWidth="1"/>
    <col min="5" max="13" width="12.7109375" style="9" customWidth="1"/>
    <col min="14" max="14" width="9.7109375" style="9" customWidth="1"/>
    <col min="15" max="16" width="1.7109375" style="9" customWidth="1"/>
    <col min="17" max="17" width="15.7109375" style="9" customWidth="1"/>
    <col min="18" max="21" width="12.7109375" style="9" customWidth="1"/>
    <col min="22" max="16384" width="9.140625" style="9"/>
  </cols>
  <sheetData>
    <row r="1" spans="3:14 16384:16384" s="1" customFormat="1" x14ac:dyDescent="0.2"/>
    <row r="2" spans="3:14 16384:16384" s="1" customFormat="1" x14ac:dyDescent="0.2"/>
    <row r="3" spans="3:14 16384:16384" s="1" customFormat="1" x14ac:dyDescent="0.2">
      <c r="C3" s="2" t="str">
        <f>+Company</f>
        <v>Idaho Power Company</v>
      </c>
      <c r="D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3:14 16384:16384" s="1" customFormat="1" x14ac:dyDescent="0.2">
      <c r="C4" s="2" t="str">
        <f>+State</f>
        <v>State of Idaho</v>
      </c>
      <c r="D4" s="3"/>
      <c r="E4" s="4"/>
      <c r="F4" s="4"/>
      <c r="G4" s="4"/>
      <c r="H4" s="4"/>
      <c r="I4" s="4"/>
      <c r="J4" s="4"/>
      <c r="K4" s="4"/>
      <c r="L4" s="4"/>
      <c r="M4" s="4"/>
      <c r="N4" s="4"/>
    </row>
    <row r="5" spans="3:14 16384:16384" s="1" customFormat="1" x14ac:dyDescent="0.2">
      <c r="C5" s="3" t="str">
        <f>+HeadingTitle2</f>
        <v>Monthly Adjusted Base Revenue Comparison</v>
      </c>
      <c r="D5" s="3"/>
      <c r="E5" s="4"/>
      <c r="F5" s="4"/>
      <c r="G5" s="4"/>
      <c r="H5" s="4"/>
      <c r="I5" s="4"/>
      <c r="J5" s="4"/>
      <c r="K5" s="4"/>
      <c r="L5" s="4"/>
      <c r="M5" s="4"/>
      <c r="N5" s="4"/>
    </row>
    <row r="6" spans="3:14 16384:16384" s="1" customFormat="1" x14ac:dyDescent="0.2">
      <c r="C6" s="2" t="str">
        <f>+Version</f>
        <v>Filed May 30, 2025</v>
      </c>
      <c r="D6" s="3"/>
      <c r="E6" s="4"/>
      <c r="F6" s="4"/>
      <c r="G6" s="4"/>
      <c r="H6" s="4"/>
      <c r="I6" s="4"/>
      <c r="J6" s="4"/>
      <c r="K6" s="4"/>
      <c r="L6" s="4"/>
      <c r="M6" s="4"/>
      <c r="N6" s="4"/>
    </row>
    <row r="7" spans="3:14 16384:16384" s="1" customFormat="1" x14ac:dyDescent="0.2">
      <c r="C7" s="2" t="str">
        <f>+Docket</f>
        <v>IPC-E-25-16</v>
      </c>
      <c r="D7" s="3"/>
      <c r="E7" s="4"/>
      <c r="F7" s="4"/>
      <c r="G7" s="4"/>
      <c r="H7" s="4"/>
      <c r="I7" s="4"/>
      <c r="J7" s="4"/>
      <c r="K7" s="4"/>
      <c r="L7" s="4"/>
      <c r="M7" s="4"/>
      <c r="N7" s="4"/>
    </row>
    <row r="8" spans="3:14 16384:16384" s="1" customFormat="1" x14ac:dyDescent="0.2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</row>
    <row r="9" spans="3:14 16384:16384" s="1" customFormat="1" x14ac:dyDescent="0.2">
      <c r="C9" s="3" t="s">
        <v>36</v>
      </c>
      <c r="D9" s="3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14 16384:16384" s="1" customFormat="1" x14ac:dyDescent="0.2">
      <c r="C10" s="5" t="s">
        <v>37</v>
      </c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3:14 16384:16384" s="1" customFormat="1" x14ac:dyDescent="0.2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3:14 16384:16384" s="1" customFormat="1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</row>
    <row r="13" spans="3:14 16384:16384" ht="18" customHeight="1" x14ac:dyDescent="0.35">
      <c r="E13" s="10" t="s">
        <v>14</v>
      </c>
      <c r="F13" s="10"/>
      <c r="G13" s="11"/>
      <c r="H13" s="10"/>
      <c r="I13" s="10" t="s">
        <v>15</v>
      </c>
      <c r="J13" s="10"/>
      <c r="K13" s="11"/>
      <c r="L13" s="10"/>
      <c r="M13" s="11" t="s">
        <v>16</v>
      </c>
      <c r="N13" s="10"/>
      <c r="XFD13" s="12"/>
    </row>
    <row r="14" spans="3:14 16384:16384" ht="14.25" x14ac:dyDescent="0.35">
      <c r="C14" s="13" t="s">
        <v>18</v>
      </c>
      <c r="E14" s="10" t="s">
        <v>19</v>
      </c>
      <c r="F14" s="10"/>
      <c r="G14" s="10" t="s">
        <v>20</v>
      </c>
      <c r="H14" s="10"/>
      <c r="I14" s="10" t="s">
        <v>21</v>
      </c>
      <c r="J14" s="10"/>
      <c r="K14" s="10" t="s">
        <v>22</v>
      </c>
      <c r="L14" s="10"/>
      <c r="M14" s="10" t="s">
        <v>23</v>
      </c>
      <c r="N14" s="10"/>
      <c r="XFD14" s="12"/>
    </row>
    <row r="15" spans="3:14 16384:16384" ht="16.5" customHeight="1" x14ac:dyDescent="0.35">
      <c r="C15" s="10" t="s">
        <v>24</v>
      </c>
      <c r="D15" s="10" t="s">
        <v>25</v>
      </c>
      <c r="E15" s="10" t="s">
        <v>26</v>
      </c>
      <c r="F15" s="10" t="s">
        <v>27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21</v>
      </c>
      <c r="N15" s="10" t="s">
        <v>22</v>
      </c>
    </row>
    <row r="16" spans="3:14 16384:16384" s="1" customFormat="1" ht="5.0999999999999996" customHeight="1" x14ac:dyDescent="0.2"/>
    <row r="17" spans="3:24" s="1" customFormat="1" ht="14.25" x14ac:dyDescent="0.35">
      <c r="C17" s="14">
        <v>1</v>
      </c>
      <c r="D17" s="129">
        <v>100</v>
      </c>
      <c r="E17" s="131">
        <f t="shared" ref="E17:H34" si="0">SUM(R$20,$D17*R$24*R$21,$D17*R$25*R$22,$D17*R$26*R$23,$D17*R$27)</f>
        <v>26.101322300155172</v>
      </c>
      <c r="F17" s="131">
        <f t="shared" si="0"/>
        <v>25.127753234173799</v>
      </c>
      <c r="G17" s="131">
        <f t="shared" si="0"/>
        <v>38.78710058614034</v>
      </c>
      <c r="H17" s="131">
        <f t="shared" si="0"/>
        <v>35.742390104557906</v>
      </c>
      <c r="I17" s="131">
        <f t="shared" ref="I17:J32" si="1">+G17-E17</f>
        <v>12.685778285985169</v>
      </c>
      <c r="J17" s="131">
        <f t="shared" si="1"/>
        <v>10.614636870384107</v>
      </c>
      <c r="K17" s="132">
        <f t="shared" ref="K17:L32" si="2">+G17/E17-1</f>
        <v>0.486020521876386</v>
      </c>
      <c r="L17" s="132">
        <f t="shared" si="2"/>
        <v>0.42242681912158297</v>
      </c>
      <c r="M17" s="131">
        <f t="shared" ref="M17" si="3">(G17*4+H17*8-E17*4-F17*8)/12</f>
        <v>11.305017342251126</v>
      </c>
      <c r="N17" s="132">
        <f>+M17/((E17*4+F17*8)/12)</f>
        <v>0.44416527733984884</v>
      </c>
      <c r="Q17" s="16"/>
      <c r="R17" s="17" t="s">
        <v>28</v>
      </c>
      <c r="S17" s="17"/>
      <c r="T17" s="17" t="s">
        <v>20</v>
      </c>
      <c r="U17" s="18"/>
    </row>
    <row r="18" spans="3:24" s="1" customFormat="1" ht="14.25" x14ac:dyDescent="0.35">
      <c r="C18" s="14">
        <f>+IF(D18="","",MAX($C$17:C17)+1)</f>
        <v>2</v>
      </c>
      <c r="D18" s="129">
        <f t="shared" ref="D18:D24" si="4">+D17+100</f>
        <v>200</v>
      </c>
      <c r="E18" s="19">
        <f t="shared" si="0"/>
        <v>37.202644600310343</v>
      </c>
      <c r="F18" s="19">
        <f t="shared" si="0"/>
        <v>35.255506468347598</v>
      </c>
      <c r="G18" s="19">
        <f t="shared" si="0"/>
        <v>52.574201172280681</v>
      </c>
      <c r="H18" s="19">
        <f t="shared" si="0"/>
        <v>46.484780209115819</v>
      </c>
      <c r="I18" s="19">
        <f t="shared" si="1"/>
        <v>15.371556571970338</v>
      </c>
      <c r="J18" s="19">
        <f t="shared" si="1"/>
        <v>11.229273740768221</v>
      </c>
      <c r="K18" s="132">
        <f t="shared" si="2"/>
        <v>0.41318451247527999</v>
      </c>
      <c r="L18" s="132">
        <f t="shared" si="2"/>
        <v>0.31851120195507243</v>
      </c>
      <c r="M18" s="19">
        <f>(G18*4+H18*8-E18*4-F18*8)/12</f>
        <v>12.610034684502253</v>
      </c>
      <c r="N18" s="132">
        <f t="shared" ref="N18:N34" si="5">+M18/((E18*4+F18*8)/12)</f>
        <v>0.35120991078137004</v>
      </c>
      <c r="Q18" s="20"/>
      <c r="R18" s="10" t="s">
        <v>26</v>
      </c>
      <c r="S18" s="10" t="s">
        <v>27</v>
      </c>
      <c r="T18" s="10" t="s">
        <v>26</v>
      </c>
      <c r="U18" s="21" t="s">
        <v>27</v>
      </c>
    </row>
    <row r="19" spans="3:24" s="1" customFormat="1" x14ac:dyDescent="0.2">
      <c r="C19" s="14">
        <f>+IF(D19="","",MAX($C$17:C18)+1)</f>
        <v>3</v>
      </c>
      <c r="D19" s="129">
        <f t="shared" si="4"/>
        <v>300</v>
      </c>
      <c r="E19" s="19">
        <f t="shared" si="0"/>
        <v>48.303966900465504</v>
      </c>
      <c r="F19" s="19">
        <f t="shared" si="0"/>
        <v>45.383259702521393</v>
      </c>
      <c r="G19" s="19">
        <f t="shared" si="0"/>
        <v>66.361301758421021</v>
      </c>
      <c r="H19" s="19">
        <f t="shared" si="0"/>
        <v>57.227170313673724</v>
      </c>
      <c r="I19" s="19">
        <f t="shared" si="1"/>
        <v>18.057334857955517</v>
      </c>
      <c r="J19" s="19">
        <f t="shared" si="1"/>
        <v>11.843910611152332</v>
      </c>
      <c r="K19" s="132">
        <f t="shared" si="2"/>
        <v>0.37382716196299604</v>
      </c>
      <c r="L19" s="132">
        <f t="shared" si="2"/>
        <v>0.26097531752427883</v>
      </c>
      <c r="M19" s="19">
        <f t="shared" ref="M19:M34" si="6">(G19*4+H19*8-E19*4-F19*8)/12</f>
        <v>13.915052026753392</v>
      </c>
      <c r="N19" s="132">
        <f t="shared" si="5"/>
        <v>0.30017264762096929</v>
      </c>
      <c r="Q19" s="42"/>
      <c r="R19" s="43"/>
      <c r="S19" s="43"/>
      <c r="T19" s="43"/>
      <c r="U19" s="44"/>
      <c r="V19" s="24"/>
      <c r="W19" s="24"/>
      <c r="X19" s="24"/>
    </row>
    <row r="20" spans="3:24" s="1" customFormat="1" x14ac:dyDescent="0.2">
      <c r="C20" s="14">
        <f>+IF(D20="","",MAX($C$17:C19)+1)</f>
        <v>4</v>
      </c>
      <c r="D20" s="129">
        <f t="shared" si="4"/>
        <v>400</v>
      </c>
      <c r="E20" s="19">
        <f t="shared" si="0"/>
        <v>59.405289200620679</v>
      </c>
      <c r="F20" s="19">
        <f t="shared" si="0"/>
        <v>55.511012936695202</v>
      </c>
      <c r="G20" s="19">
        <f t="shared" si="0"/>
        <v>80.148402344561362</v>
      </c>
      <c r="H20" s="19">
        <f t="shared" si="0"/>
        <v>67.969560418231637</v>
      </c>
      <c r="I20" s="19">
        <f t="shared" si="1"/>
        <v>20.743113143940683</v>
      </c>
      <c r="J20" s="19">
        <f t="shared" si="1"/>
        <v>12.458547481536435</v>
      </c>
      <c r="K20" s="132">
        <f t="shared" si="2"/>
        <v>0.34917956671985961</v>
      </c>
      <c r="L20" s="132">
        <f t="shared" si="2"/>
        <v>0.2244337983121325</v>
      </c>
      <c r="M20" s="19">
        <f t="shared" si="6"/>
        <v>15.22006936900452</v>
      </c>
      <c r="N20" s="132">
        <f t="shared" si="5"/>
        <v>0.26791602089832139</v>
      </c>
      <c r="Q20" s="42" t="s">
        <v>29</v>
      </c>
      <c r="R20" s="45">
        <f>[1]I05!F17</f>
        <v>15</v>
      </c>
      <c r="S20" s="45">
        <f>[1]I05!F17</f>
        <v>15</v>
      </c>
      <c r="T20" s="45">
        <f>[1]I05!H17</f>
        <v>25</v>
      </c>
      <c r="U20" s="46">
        <f>[1]I05!H17</f>
        <v>25</v>
      </c>
      <c r="V20" s="24"/>
      <c r="W20" s="24"/>
      <c r="X20" s="24"/>
    </row>
    <row r="21" spans="3:24" s="1" customFormat="1" x14ac:dyDescent="0.2">
      <c r="C21" s="14">
        <f>+IF(D21="","",MAX($C$17:C20)+1)</f>
        <v>5</v>
      </c>
      <c r="D21" s="129">
        <f t="shared" si="4"/>
        <v>500</v>
      </c>
      <c r="E21" s="19">
        <f t="shared" si="0"/>
        <v>70.506611500775847</v>
      </c>
      <c r="F21" s="19">
        <f t="shared" si="0"/>
        <v>65.638766170869005</v>
      </c>
      <c r="G21" s="19">
        <f t="shared" si="0"/>
        <v>93.935502930701702</v>
      </c>
      <c r="H21" s="19">
        <f t="shared" si="0"/>
        <v>78.71195052278955</v>
      </c>
      <c r="I21" s="19">
        <f t="shared" si="1"/>
        <v>23.428891429925855</v>
      </c>
      <c r="J21" s="19">
        <f t="shared" si="1"/>
        <v>13.073184351920546</v>
      </c>
      <c r="K21" s="132">
        <f t="shared" si="2"/>
        <v>0.33229353859485999</v>
      </c>
      <c r="L21" s="132">
        <f t="shared" si="2"/>
        <v>0.19916864856796357</v>
      </c>
      <c r="M21" s="19">
        <f t="shared" si="6"/>
        <v>16.525086711255653</v>
      </c>
      <c r="N21" s="132">
        <f t="shared" si="5"/>
        <v>0.24568461718408799</v>
      </c>
      <c r="Q21" s="42" t="s">
        <v>38</v>
      </c>
      <c r="R21" s="47">
        <f>[1]I05!F20</f>
        <v>0.25295699999999999</v>
      </c>
      <c r="S21" s="47">
        <f>[1]I05!F25</f>
        <v>0.13114999999999999</v>
      </c>
      <c r="T21" s="47">
        <f>[1]I05!H20</f>
        <v>0.32296799999999998</v>
      </c>
      <c r="U21" s="48">
        <f>[1]I05!H25</f>
        <v>0.143396</v>
      </c>
    </row>
    <row r="22" spans="3:24" s="1" customFormat="1" x14ac:dyDescent="0.2">
      <c r="C22" s="14">
        <f>+IF(D22="","",MAX($C$17:C21)+1)</f>
        <v>6</v>
      </c>
      <c r="D22" s="129">
        <f t="shared" si="4"/>
        <v>600</v>
      </c>
      <c r="E22" s="19">
        <f t="shared" si="0"/>
        <v>81.607933800931008</v>
      </c>
      <c r="F22" s="19">
        <f t="shared" si="0"/>
        <v>75.766519405042786</v>
      </c>
      <c r="G22" s="19">
        <f t="shared" si="0"/>
        <v>107.72260351684204</v>
      </c>
      <c r="H22" s="19">
        <f t="shared" si="0"/>
        <v>89.454340627347449</v>
      </c>
      <c r="I22" s="19">
        <f t="shared" si="1"/>
        <v>26.114669715911035</v>
      </c>
      <c r="J22" s="19">
        <f t="shared" si="1"/>
        <v>13.687821222304663</v>
      </c>
      <c r="K22" s="132">
        <f t="shared" si="2"/>
        <v>0.32000160400597122</v>
      </c>
      <c r="L22" s="132">
        <f t="shared" si="2"/>
        <v>0.18065791235744211</v>
      </c>
      <c r="M22" s="19">
        <f t="shared" si="6"/>
        <v>17.830104053506783</v>
      </c>
      <c r="N22" s="132">
        <f t="shared" si="5"/>
        <v>0.22943334052983519</v>
      </c>
      <c r="Q22" s="42" t="s">
        <v>39</v>
      </c>
      <c r="R22" s="47">
        <f>[1]I05!F21</f>
        <v>0.12648000000000001</v>
      </c>
      <c r="S22" s="49">
        <v>0</v>
      </c>
      <c r="T22" s="47">
        <f>[1]I05!H21</f>
        <v>0.16148399999999999</v>
      </c>
      <c r="U22" s="50">
        <v>0</v>
      </c>
    </row>
    <row r="23" spans="3:24" s="1" customFormat="1" x14ac:dyDescent="0.2">
      <c r="C23" s="14">
        <f>+IF(D23="","",MAX($C$17:C22)+1)</f>
        <v>7</v>
      </c>
      <c r="D23" s="129">
        <f t="shared" si="4"/>
        <v>700</v>
      </c>
      <c r="E23" s="19">
        <f t="shared" si="0"/>
        <v>92.709256101086169</v>
      </c>
      <c r="F23" s="19">
        <f t="shared" si="0"/>
        <v>85.894272639216581</v>
      </c>
      <c r="G23" s="19">
        <f t="shared" si="0"/>
        <v>121.50970410298237</v>
      </c>
      <c r="H23" s="19">
        <f t="shared" si="0"/>
        <v>100.19673073190536</v>
      </c>
      <c r="I23" s="19">
        <f t="shared" si="1"/>
        <v>28.8004480018962</v>
      </c>
      <c r="J23" s="19">
        <f t="shared" si="1"/>
        <v>14.302458092688781</v>
      </c>
      <c r="K23" s="132">
        <f t="shared" si="2"/>
        <v>0.3106534256999478</v>
      </c>
      <c r="L23" s="132">
        <f t="shared" si="2"/>
        <v>0.16651236052447493</v>
      </c>
      <c r="M23" s="19">
        <f t="shared" si="6"/>
        <v>19.13512139575791</v>
      </c>
      <c r="N23" s="132">
        <f t="shared" si="5"/>
        <v>0.21703531707208648</v>
      </c>
      <c r="Q23" s="42" t="s">
        <v>40</v>
      </c>
      <c r="R23" s="47">
        <f>[1]I05!F22</f>
        <v>6.3241000000000006E-2</v>
      </c>
      <c r="S23" s="49">
        <f>[1]I05!F26</f>
        <v>8.7432999999999997E-2</v>
      </c>
      <c r="T23" s="47">
        <f>[1]I05!H22</f>
        <v>8.0741999999999994E-2</v>
      </c>
      <c r="U23" s="50">
        <f>[1]I05!H26</f>
        <v>9.5597000000000001E-2</v>
      </c>
    </row>
    <row r="24" spans="3:24" s="1" customFormat="1" x14ac:dyDescent="0.2">
      <c r="C24" s="14">
        <f>+IF(D24="","",MAX($C$17:C23)+1)</f>
        <v>8</v>
      </c>
      <c r="D24" s="129">
        <f t="shared" si="4"/>
        <v>800</v>
      </c>
      <c r="E24" s="19">
        <f t="shared" si="0"/>
        <v>103.81057840124136</v>
      </c>
      <c r="F24" s="19">
        <f t="shared" si="0"/>
        <v>96.022025873390405</v>
      </c>
      <c r="G24" s="19">
        <f t="shared" si="0"/>
        <v>135.29680468912272</v>
      </c>
      <c r="H24" s="19">
        <f t="shared" si="0"/>
        <v>110.93912083646327</v>
      </c>
      <c r="I24" s="19">
        <f t="shared" si="1"/>
        <v>31.486226287881365</v>
      </c>
      <c r="J24" s="19">
        <f t="shared" si="1"/>
        <v>14.91709496307287</v>
      </c>
      <c r="K24" s="132">
        <f t="shared" si="2"/>
        <v>0.30330460318006325</v>
      </c>
      <c r="L24" s="132">
        <f t="shared" si="2"/>
        <v>0.15535076277959159</v>
      </c>
      <c r="M24" s="19">
        <f t="shared" si="6"/>
        <v>20.44013873800904</v>
      </c>
      <c r="N24" s="132">
        <f t="shared" si="5"/>
        <v>0.20726535928590081</v>
      </c>
      <c r="Q24" s="51" t="s">
        <v>41</v>
      </c>
      <c r="R24" s="52">
        <f>[1]I05!E20/[1]I05!E23</f>
        <v>0.1744788437397142</v>
      </c>
      <c r="S24" s="52">
        <f>[1]I05!E25/[1]I05!E27</f>
        <v>0.24742988442392247</v>
      </c>
      <c r="T24" s="52">
        <f t="shared" ref="T24:U26" si="7">R24</f>
        <v>0.1744788437397142</v>
      </c>
      <c r="U24" s="53">
        <f t="shared" si="7"/>
        <v>0.24742988442392247</v>
      </c>
    </row>
    <row r="25" spans="3:24" s="1" customFormat="1" x14ac:dyDescent="0.2">
      <c r="C25" s="14">
        <f>+IF(D25="","",MAX($C$17:C24)+1)</f>
        <v>9</v>
      </c>
      <c r="D25" s="129">
        <f>+D24+100</f>
        <v>900</v>
      </c>
      <c r="E25" s="19">
        <f t="shared" si="0"/>
        <v>114.91190070139652</v>
      </c>
      <c r="F25" s="19">
        <f t="shared" si="0"/>
        <v>106.14977910756419</v>
      </c>
      <c r="G25" s="19">
        <f t="shared" si="0"/>
        <v>149.08390527526305</v>
      </c>
      <c r="H25" s="19">
        <f t="shared" si="0"/>
        <v>121.68151094102117</v>
      </c>
      <c r="I25" s="19">
        <f t="shared" si="1"/>
        <v>34.172004573866531</v>
      </c>
      <c r="J25" s="19">
        <f t="shared" si="1"/>
        <v>15.531731833456988</v>
      </c>
      <c r="K25" s="132">
        <f t="shared" si="2"/>
        <v>0.29737567967537104</v>
      </c>
      <c r="L25" s="132">
        <f t="shared" si="2"/>
        <v>0.14631902170722655</v>
      </c>
      <c r="M25" s="19">
        <f t="shared" si="6"/>
        <v>21.745156080260159</v>
      </c>
      <c r="N25" s="132">
        <f t="shared" si="5"/>
        <v>0.19936792084479762</v>
      </c>
      <c r="Q25" s="42" t="s">
        <v>42</v>
      </c>
      <c r="R25" s="52">
        <f>[1]I05!E21/[1]I05!E23</f>
        <v>0.18411351536631998</v>
      </c>
      <c r="S25" s="52">
        <v>0</v>
      </c>
      <c r="T25" s="52">
        <f t="shared" si="7"/>
        <v>0.18411351536631998</v>
      </c>
      <c r="U25" s="53">
        <f t="shared" si="7"/>
        <v>0</v>
      </c>
    </row>
    <row r="26" spans="3:24" s="1" customFormat="1" x14ac:dyDescent="0.2">
      <c r="C26" s="14">
        <f>+IF(D26="","",MAX($C$17:C25)+1)</f>
        <v>10</v>
      </c>
      <c r="D26" s="129">
        <v>1000</v>
      </c>
      <c r="E26" s="19">
        <f t="shared" si="0"/>
        <v>126.01322300155169</v>
      </c>
      <c r="F26" s="19">
        <f t="shared" si="0"/>
        <v>116.27753234173801</v>
      </c>
      <c r="G26" s="19">
        <f t="shared" si="0"/>
        <v>162.8710058614034</v>
      </c>
      <c r="H26" s="19">
        <f t="shared" si="0"/>
        <v>132.4239010455791</v>
      </c>
      <c r="I26" s="19">
        <f t="shared" si="1"/>
        <v>36.85778285985171</v>
      </c>
      <c r="J26" s="19">
        <f t="shared" si="1"/>
        <v>16.146368703841091</v>
      </c>
      <c r="K26" s="132">
        <f t="shared" si="2"/>
        <v>0.29249139083918085</v>
      </c>
      <c r="L26" s="132">
        <f t="shared" si="2"/>
        <v>0.13886060684868284</v>
      </c>
      <c r="M26" s="19">
        <f t="shared" si="6"/>
        <v>23.050173422511307</v>
      </c>
      <c r="N26" s="132">
        <f t="shared" si="5"/>
        <v>0.19285174579709871</v>
      </c>
      <c r="Q26" s="51" t="s">
        <v>43</v>
      </c>
      <c r="R26" s="52">
        <f>[1]I05!E22/[1]I05!E23</f>
        <v>0.64140764089396574</v>
      </c>
      <c r="S26" s="52">
        <f>[1]I05!E26/[1]I05!E27</f>
        <v>0.75257011557607767</v>
      </c>
      <c r="T26" s="52">
        <f t="shared" si="7"/>
        <v>0.64140764089396574</v>
      </c>
      <c r="U26" s="53">
        <f t="shared" si="7"/>
        <v>0.75257011557607767</v>
      </c>
    </row>
    <row r="27" spans="3:24" s="1" customFormat="1" x14ac:dyDescent="0.2">
      <c r="C27" s="14">
        <f>+IF(D27="","",MAX($C$17:C26)+1)</f>
        <v>11</v>
      </c>
      <c r="D27" s="129">
        <f t="shared" ref="D27:D32" si="8">+D26+250</f>
        <v>1250</v>
      </c>
      <c r="E27" s="19">
        <f t="shared" si="0"/>
        <v>153.76652875193963</v>
      </c>
      <c r="F27" s="19">
        <f t="shared" si="0"/>
        <v>141.59691542717249</v>
      </c>
      <c r="G27" s="19">
        <f t="shared" si="0"/>
        <v>197.33875732675426</v>
      </c>
      <c r="H27" s="19">
        <f t="shared" si="0"/>
        <v>159.27987630697385</v>
      </c>
      <c r="I27" s="19">
        <f t="shared" si="1"/>
        <v>43.572228574814631</v>
      </c>
      <c r="J27" s="19">
        <f t="shared" si="1"/>
        <v>17.682960879801357</v>
      </c>
      <c r="K27" s="132">
        <f t="shared" si="2"/>
        <v>0.28336614560055873</v>
      </c>
      <c r="L27" s="132">
        <f t="shared" si="2"/>
        <v>0.12488238763150328</v>
      </c>
      <c r="M27" s="19">
        <f t="shared" si="6"/>
        <v>26.312716778139116</v>
      </c>
      <c r="N27" s="132">
        <f t="shared" si="5"/>
        <v>0.1806528866955876</v>
      </c>
      <c r="Q27" s="54" t="s">
        <v>33</v>
      </c>
      <c r="R27" s="55">
        <f>[1]I05!G29/[1]I05!E28</f>
        <v>3.0276400843773669E-3</v>
      </c>
      <c r="S27" s="55">
        <f>+R27</f>
        <v>3.0276400843773669E-3</v>
      </c>
      <c r="T27" s="56">
        <v>0</v>
      </c>
      <c r="U27" s="57">
        <v>0</v>
      </c>
    </row>
    <row r="28" spans="3:24" s="1" customFormat="1" x14ac:dyDescent="0.2">
      <c r="C28" s="14">
        <f>+IF(D28="","",MAX($C$17:C27)+1)</f>
        <v>12</v>
      </c>
      <c r="D28" s="129">
        <f t="shared" si="8"/>
        <v>1500</v>
      </c>
      <c r="E28" s="19">
        <f t="shared" si="0"/>
        <v>181.51983450232754</v>
      </c>
      <c r="F28" s="19">
        <f t="shared" si="0"/>
        <v>166.916298512607</v>
      </c>
      <c r="G28" s="19">
        <f t="shared" si="0"/>
        <v>231.80650879210509</v>
      </c>
      <c r="H28" s="19">
        <f t="shared" si="0"/>
        <v>186.13585156836865</v>
      </c>
      <c r="I28" s="19">
        <f t="shared" si="1"/>
        <v>50.286674289777551</v>
      </c>
      <c r="J28" s="19">
        <f t="shared" si="1"/>
        <v>19.219553055761651</v>
      </c>
      <c r="K28" s="132">
        <f t="shared" si="2"/>
        <v>0.27703129207696997</v>
      </c>
      <c r="L28" s="132">
        <f t="shared" si="2"/>
        <v>0.11514485539774899</v>
      </c>
      <c r="M28" s="19">
        <f t="shared" si="6"/>
        <v>29.57526013376696</v>
      </c>
      <c r="N28" s="132">
        <f t="shared" si="5"/>
        <v>0.17216525036723185</v>
      </c>
      <c r="Q28" s="9"/>
      <c r="R28" s="9"/>
      <c r="S28" s="9"/>
      <c r="T28" s="9"/>
      <c r="U28" s="9"/>
    </row>
    <row r="29" spans="3:24" s="1" customFormat="1" x14ac:dyDescent="0.2">
      <c r="C29" s="14">
        <f>+IF(D29="","",MAX($C$17:C28)+1)</f>
        <v>13</v>
      </c>
      <c r="D29" s="129">
        <f t="shared" si="8"/>
        <v>1750</v>
      </c>
      <c r="E29" s="19">
        <f t="shared" si="0"/>
        <v>209.27314025271548</v>
      </c>
      <c r="F29" s="19">
        <f t="shared" si="0"/>
        <v>192.23568159804148</v>
      </c>
      <c r="G29" s="19">
        <f t="shared" si="0"/>
        <v>266.27426025745592</v>
      </c>
      <c r="H29" s="19">
        <f t="shared" si="0"/>
        <v>212.9918268297634</v>
      </c>
      <c r="I29" s="19">
        <f t="shared" si="1"/>
        <v>57.001120004740443</v>
      </c>
      <c r="J29" s="19">
        <f t="shared" si="1"/>
        <v>20.756145231721916</v>
      </c>
      <c r="K29" s="132">
        <f t="shared" si="2"/>
        <v>0.27237666494566204</v>
      </c>
      <c r="L29" s="132">
        <f t="shared" si="2"/>
        <v>0.10797238607930404</v>
      </c>
      <c r="M29" s="19">
        <f t="shared" si="6"/>
        <v>32.837803489394751</v>
      </c>
      <c r="N29" s="132">
        <f t="shared" si="5"/>
        <v>0.16591885886263122</v>
      </c>
      <c r="Q29" s="58">
        <v>1500</v>
      </c>
      <c r="R29" s="59" t="s">
        <v>34</v>
      </c>
      <c r="S29" s="59" t="s">
        <v>20</v>
      </c>
      <c r="T29" s="59" t="s">
        <v>15</v>
      </c>
      <c r="U29" s="60"/>
    </row>
    <row r="30" spans="3:24" s="1" customFormat="1" x14ac:dyDescent="0.2">
      <c r="C30" s="14">
        <f>+IF(D30="","",MAX($C$17:C29)+1)</f>
        <v>14</v>
      </c>
      <c r="D30" s="129">
        <f t="shared" si="8"/>
        <v>2000</v>
      </c>
      <c r="E30" s="19">
        <f t="shared" si="0"/>
        <v>237.02644600310339</v>
      </c>
      <c r="F30" s="19">
        <f t="shared" si="0"/>
        <v>217.55506468347602</v>
      </c>
      <c r="G30" s="19">
        <f t="shared" si="0"/>
        <v>300.74201172280681</v>
      </c>
      <c r="H30" s="19">
        <f t="shared" si="0"/>
        <v>239.8478020911582</v>
      </c>
      <c r="I30" s="19">
        <f t="shared" si="1"/>
        <v>63.71556571970342</v>
      </c>
      <c r="J30" s="19">
        <f t="shared" si="1"/>
        <v>22.292737407682182</v>
      </c>
      <c r="K30" s="132">
        <f t="shared" si="2"/>
        <v>0.26881205365104788</v>
      </c>
      <c r="L30" s="132">
        <f t="shared" si="2"/>
        <v>0.10246940212638211</v>
      </c>
      <c r="M30" s="19">
        <f t="shared" si="6"/>
        <v>36.100346845022614</v>
      </c>
      <c r="N30" s="132">
        <f t="shared" si="5"/>
        <v>0.16112951519628432</v>
      </c>
      <c r="Q30" s="61" t="s">
        <v>35</v>
      </c>
      <c r="R30" s="62">
        <f>ROUND(+SUM(INDEX(E$17:E$34,MATCH($Q$29,$D$17:$D$34,0))*4,INDEX(F$17:F$34,MATCH($Q$29,$D$17:$D$34,0))*8)/12,2)</f>
        <v>171.78</v>
      </c>
      <c r="S30" s="62">
        <f>ROUND(+SUM(INDEX(G$17:G$34,MATCH($Q$29,$D$17:$D$34,0))*4,INDEX(H$17:H$34,MATCH($Q$29,$D$17:$D$34,0))*8)/12,2)</f>
        <v>201.36</v>
      </c>
      <c r="T30" s="62">
        <f>+S30-R30</f>
        <v>29.580000000000013</v>
      </c>
      <c r="U30" s="63">
        <f>+S30/R30-1</f>
        <v>0.17219699615787643</v>
      </c>
    </row>
    <row r="31" spans="3:24" s="1" customFormat="1" x14ac:dyDescent="0.2">
      <c r="C31" s="14">
        <f>+IF(D31="","",MAX($C$17:C30)+1)</f>
        <v>15</v>
      </c>
      <c r="D31" s="129">
        <f t="shared" si="8"/>
        <v>2250</v>
      </c>
      <c r="E31" s="19">
        <f t="shared" si="0"/>
        <v>264.77975175349127</v>
      </c>
      <c r="F31" s="19">
        <f t="shared" si="0"/>
        <v>242.87444776891047</v>
      </c>
      <c r="G31" s="19">
        <f t="shared" si="0"/>
        <v>335.20976318815769</v>
      </c>
      <c r="H31" s="19">
        <f t="shared" si="0"/>
        <v>266.70377735255295</v>
      </c>
      <c r="I31" s="19">
        <f t="shared" si="1"/>
        <v>70.430011434666426</v>
      </c>
      <c r="J31" s="19">
        <f t="shared" si="1"/>
        <v>23.829329583642476</v>
      </c>
      <c r="K31" s="132">
        <f t="shared" si="2"/>
        <v>0.26599470302486128</v>
      </c>
      <c r="L31" s="132">
        <f t="shared" si="2"/>
        <v>9.8113777725664875E-2</v>
      </c>
      <c r="M31" s="19">
        <f t="shared" si="6"/>
        <v>39.362890200650462</v>
      </c>
      <c r="N31" s="132">
        <f t="shared" si="5"/>
        <v>0.15734065718628876</v>
      </c>
    </row>
    <row r="32" spans="3:24" s="1" customFormat="1" x14ac:dyDescent="0.2">
      <c r="C32" s="14">
        <f>+IF(D32="","",MAX($C$17:C31)+1)</f>
        <v>16</v>
      </c>
      <c r="D32" s="129">
        <f t="shared" si="8"/>
        <v>2500</v>
      </c>
      <c r="E32" s="19">
        <f t="shared" si="0"/>
        <v>292.53305750387921</v>
      </c>
      <c r="F32" s="19">
        <f t="shared" si="0"/>
        <v>268.19383085434498</v>
      </c>
      <c r="G32" s="19">
        <f t="shared" si="0"/>
        <v>369.67751465350852</v>
      </c>
      <c r="H32" s="19">
        <f t="shared" si="0"/>
        <v>293.55975261394769</v>
      </c>
      <c r="I32" s="19">
        <f t="shared" si="1"/>
        <v>77.144457149629318</v>
      </c>
      <c r="J32" s="19">
        <f t="shared" si="1"/>
        <v>25.365921759602713</v>
      </c>
      <c r="K32" s="132">
        <f t="shared" si="2"/>
        <v>0.26371192988541581</v>
      </c>
      <c r="L32" s="132">
        <f t="shared" si="2"/>
        <v>9.4580556453510933E-2</v>
      </c>
      <c r="M32" s="19">
        <f t="shared" si="6"/>
        <v>42.625433556278232</v>
      </c>
      <c r="N32" s="132">
        <f t="shared" si="5"/>
        <v>0.15426843328311352</v>
      </c>
    </row>
    <row r="33" spans="3:14" s="1" customFormat="1" x14ac:dyDescent="0.2">
      <c r="C33" s="14">
        <f>+IF(D33="","",MAX($C$17:C32)+1)</f>
        <v>17</v>
      </c>
      <c r="D33" s="129">
        <f>+D32+500</f>
        <v>3000</v>
      </c>
      <c r="E33" s="19">
        <f t="shared" si="0"/>
        <v>348.03966900465508</v>
      </c>
      <c r="F33" s="19">
        <f t="shared" si="0"/>
        <v>318.832597025214</v>
      </c>
      <c r="G33" s="19">
        <f t="shared" si="0"/>
        <v>438.61301758421018</v>
      </c>
      <c r="H33" s="19">
        <f t="shared" si="0"/>
        <v>347.2717031367373</v>
      </c>
      <c r="I33" s="19">
        <f>+G33-E33</f>
        <v>90.573348579555102</v>
      </c>
      <c r="J33" s="19">
        <f>+H33-F33</f>
        <v>28.439106111523301</v>
      </c>
      <c r="K33" s="132">
        <f>+G33/E33-1</f>
        <v>0.26023857808675155</v>
      </c>
      <c r="L33" s="132">
        <f>+H33/F33-1</f>
        <v>8.9197611464031823E-2</v>
      </c>
      <c r="M33" s="19">
        <f t="shared" si="6"/>
        <v>49.150520267533921</v>
      </c>
      <c r="N33" s="132">
        <f t="shared" si="5"/>
        <v>0.14958996990802298</v>
      </c>
    </row>
    <row r="34" spans="3:14" s="1" customFormat="1" x14ac:dyDescent="0.2">
      <c r="C34" s="14">
        <f>+IF(D34="","",MAX($C$17:C33)+1)</f>
        <v>18</v>
      </c>
      <c r="D34" s="129">
        <f>+D33+2000</f>
        <v>5000</v>
      </c>
      <c r="E34" s="19">
        <f t="shared" si="0"/>
        <v>570.06611500775841</v>
      </c>
      <c r="F34" s="19">
        <f t="shared" si="0"/>
        <v>521.38766170868996</v>
      </c>
      <c r="G34" s="19">
        <f t="shared" si="0"/>
        <v>714.35502930701705</v>
      </c>
      <c r="H34" s="19">
        <f t="shared" si="0"/>
        <v>562.11950522789539</v>
      </c>
      <c r="I34" s="19">
        <f>+G34-E34</f>
        <v>144.28891429925864</v>
      </c>
      <c r="J34" s="19">
        <f>+H34-F34</f>
        <v>40.731843519205427</v>
      </c>
      <c r="K34" s="132">
        <f>+G34/E34-1</f>
        <v>0.25310908770168683</v>
      </c>
      <c r="L34" s="132">
        <f>+H34/F34-1</f>
        <v>7.8121993500420039E-2</v>
      </c>
      <c r="M34" s="19">
        <f t="shared" si="6"/>
        <v>75.250867112556463</v>
      </c>
      <c r="N34" s="132">
        <f t="shared" si="5"/>
        <v>0.13997197490046256</v>
      </c>
    </row>
    <row r="35" spans="3:14" s="1" customFormat="1" ht="12.75" thickBot="1" x14ac:dyDescent="0.25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3:14" s="1" customFormat="1" ht="12.75" thickTop="1" x14ac:dyDescent="0.2"/>
    <row r="37" spans="3:14" s="1" customFormat="1" ht="16.5" customHeight="1" x14ac:dyDescent="0.2">
      <c r="C37" s="64" t="s">
        <v>44</v>
      </c>
    </row>
    <row r="38" spans="3:14" s="1" customFormat="1" x14ac:dyDescent="0.2">
      <c r="M38" s="15"/>
    </row>
  </sheetData>
  <printOptions horizontalCentered="1"/>
  <pageMargins left="0.25" right="0.25" top="0.5" bottom="0.5" header="0.3" footer="0.3"/>
  <pageSetup fitToHeight="0" orientation="landscape" r:id="rId1"/>
  <headerFooter scaleWithDoc="0">
    <oddFooter>&amp;R&amp;10Exhibit No. 45
Case No. IPC-E-25-16
G. Anderson, IPC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7133-3A2E-4261-9CE3-5BBBFCD53513}">
  <sheetPr>
    <tabColor theme="3"/>
    <pageSetUpPr fitToPage="1"/>
  </sheetPr>
  <dimension ref="C1:XFD99"/>
  <sheetViews>
    <sheetView showGridLines="0" view="pageBreakPreview" topLeftCell="D4" zoomScale="130" zoomScaleNormal="100" zoomScaleSheetLayoutView="130" workbookViewId="0">
      <selection activeCell="D17" sqref="D17:N35"/>
    </sheetView>
  </sheetViews>
  <sheetFormatPr defaultColWidth="9.140625" defaultRowHeight="12" x14ac:dyDescent="0.2"/>
  <cols>
    <col min="1" max="2" width="1.7109375" style="9" customWidth="1"/>
    <col min="3" max="3" width="7.7109375" style="9" customWidth="1"/>
    <col min="4" max="4" width="9.7109375" style="9" customWidth="1"/>
    <col min="5" max="13" width="12.7109375" style="9" customWidth="1"/>
    <col min="14" max="14" width="9.7109375" style="9" customWidth="1"/>
    <col min="15" max="16" width="1.7109375" style="9" customWidth="1"/>
    <col min="17" max="17" width="15.7109375" style="9" customWidth="1"/>
    <col min="18" max="21" width="12.7109375" style="9" customWidth="1"/>
    <col min="22" max="16384" width="9.140625" style="9"/>
  </cols>
  <sheetData>
    <row r="1" spans="3:22 16384:16384" s="1" customFormat="1" x14ac:dyDescent="0.2"/>
    <row r="2" spans="3:22 16384:16384" s="1" customFormat="1" x14ac:dyDescent="0.2"/>
    <row r="3" spans="3:22 16384:16384" s="1" customFormat="1" x14ac:dyDescent="0.2">
      <c r="C3" s="2" t="str">
        <f>+Company</f>
        <v>Idaho Power Company</v>
      </c>
      <c r="D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3:22 16384:16384" s="1" customFormat="1" x14ac:dyDescent="0.2">
      <c r="C4" s="2" t="str">
        <f>+State</f>
        <v>State of Idaho</v>
      </c>
      <c r="D4" s="3"/>
      <c r="E4" s="4"/>
      <c r="F4" s="4"/>
      <c r="G4" s="4"/>
      <c r="H4" s="4"/>
      <c r="I4" s="4"/>
      <c r="J4" s="4"/>
      <c r="K4" s="4"/>
      <c r="L4" s="4"/>
      <c r="M4" s="4"/>
      <c r="N4" s="4"/>
    </row>
    <row r="5" spans="3:22 16384:16384" s="1" customFormat="1" x14ac:dyDescent="0.2">
      <c r="C5" s="3" t="str">
        <f>+HeadingTitle2</f>
        <v>Monthly Adjusted Base Revenue Comparison</v>
      </c>
      <c r="D5" s="3"/>
      <c r="E5" s="4"/>
      <c r="F5" s="4"/>
      <c r="G5" s="4"/>
      <c r="H5" s="4"/>
      <c r="I5" s="4"/>
      <c r="J5" s="4"/>
      <c r="K5" s="4"/>
      <c r="L5" s="4"/>
      <c r="M5" s="4"/>
      <c r="N5" s="4"/>
    </row>
    <row r="6" spans="3:22 16384:16384" s="1" customFormat="1" x14ac:dyDescent="0.2">
      <c r="C6" s="2" t="str">
        <f>+Version</f>
        <v>Filed May 30, 2025</v>
      </c>
      <c r="D6" s="3"/>
      <c r="E6" s="4"/>
      <c r="F6" s="4"/>
      <c r="G6" s="4"/>
      <c r="H6" s="4"/>
      <c r="I6" s="4"/>
      <c r="J6" s="4"/>
      <c r="K6" s="4"/>
      <c r="L6" s="4"/>
      <c r="M6" s="4"/>
      <c r="N6" s="4"/>
    </row>
    <row r="7" spans="3:22 16384:16384" s="1" customFormat="1" x14ac:dyDescent="0.2">
      <c r="C7" s="2" t="str">
        <f>+Docket</f>
        <v>IPC-E-25-16</v>
      </c>
      <c r="D7" s="3"/>
      <c r="E7" s="4"/>
      <c r="F7" s="4"/>
      <c r="G7" s="4"/>
      <c r="H7" s="4"/>
      <c r="I7" s="4"/>
      <c r="J7" s="4"/>
      <c r="K7" s="4"/>
      <c r="L7" s="4"/>
      <c r="M7" s="4"/>
      <c r="N7" s="4"/>
    </row>
    <row r="8" spans="3:22 16384:16384" s="1" customFormat="1" x14ac:dyDescent="0.2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</row>
    <row r="9" spans="3:22 16384:16384" s="1" customFormat="1" x14ac:dyDescent="0.2">
      <c r="C9" s="3" t="s">
        <v>45</v>
      </c>
      <c r="D9" s="3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22 16384:16384" s="1" customFormat="1" x14ac:dyDescent="0.2">
      <c r="C10" s="5" t="s">
        <v>46</v>
      </c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3:22 16384:16384" s="1" customFormat="1" x14ac:dyDescent="0.2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3:22 16384:16384" s="1" customFormat="1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</row>
    <row r="13" spans="3:22 16384:16384" ht="18" customHeight="1" x14ac:dyDescent="0.35">
      <c r="E13" s="10" t="s">
        <v>14</v>
      </c>
      <c r="F13" s="10"/>
      <c r="G13" s="11"/>
      <c r="H13" s="10"/>
      <c r="I13" s="10" t="s">
        <v>15</v>
      </c>
      <c r="J13" s="10"/>
      <c r="K13" s="11"/>
      <c r="L13" s="10"/>
      <c r="M13" s="11" t="s">
        <v>16</v>
      </c>
      <c r="N13" s="10"/>
      <c r="XFD13" s="12"/>
    </row>
    <row r="14" spans="3:22 16384:16384" ht="14.25" x14ac:dyDescent="0.35">
      <c r="C14" s="13" t="s">
        <v>18</v>
      </c>
      <c r="E14" s="10" t="s">
        <v>19</v>
      </c>
      <c r="F14" s="10"/>
      <c r="G14" s="10" t="s">
        <v>20</v>
      </c>
      <c r="H14" s="10"/>
      <c r="I14" s="10" t="s">
        <v>21</v>
      </c>
      <c r="J14" s="10"/>
      <c r="K14" s="10" t="s">
        <v>22</v>
      </c>
      <c r="L14" s="10"/>
      <c r="M14" s="10" t="s">
        <v>23</v>
      </c>
      <c r="N14" s="10"/>
      <c r="XFD14" s="12"/>
    </row>
    <row r="15" spans="3:22 16384:16384" ht="16.5" customHeight="1" x14ac:dyDescent="0.35">
      <c r="C15" s="10" t="s">
        <v>24</v>
      </c>
      <c r="D15" s="10" t="s">
        <v>25</v>
      </c>
      <c r="E15" s="10" t="s">
        <v>26</v>
      </c>
      <c r="F15" s="10" t="s">
        <v>27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21</v>
      </c>
      <c r="N15" s="10" t="s">
        <v>22</v>
      </c>
    </row>
    <row r="16" spans="3:22 16384:16384" s="1" customFormat="1" ht="5.0999999999999996" customHeight="1" x14ac:dyDescent="0.2">
      <c r="Q16" s="9"/>
      <c r="R16" s="9"/>
      <c r="S16" s="9"/>
      <c r="T16" s="9"/>
      <c r="U16" s="9"/>
      <c r="V16" s="9"/>
    </row>
    <row r="17" spans="3:24" s="1" customFormat="1" ht="14.25" x14ac:dyDescent="0.35">
      <c r="C17" s="14">
        <v>1</v>
      </c>
      <c r="D17" s="129">
        <v>50</v>
      </c>
      <c r="E17" s="131">
        <f t="shared" ref="E17:E36" si="0">SUM($R$20,MIN($D17,300)*$R$21,MAX(0,$D17-300)*$R$22,$D17*R$23)</f>
        <v>28.878082004218285</v>
      </c>
      <c r="F17" s="131">
        <f t="shared" ref="F17:F36" si="1">SUM($S$20,MIN($D17,300)*$S$21,MAX(0,$D17-300)*$S$22,$D17*S$23)</f>
        <v>28.878082004218285</v>
      </c>
      <c r="G17" s="131">
        <f t="shared" ref="G17:G36" si="2">SUM($T$20,MIN($D17,300)*$T$21,MAX(0,$D17-300)*$T$22,$D17*T$23)</f>
        <v>34.440100000000001</v>
      </c>
      <c r="H17" s="131">
        <f t="shared" ref="H17:H36" si="3">SUM($U$20,MIN($D17,300)*$U$21,MAX(0,$D17-300)*$U$22,$D17*U$23)</f>
        <v>34.440100000000001</v>
      </c>
      <c r="I17" s="131">
        <f>+G17-E17</f>
        <v>5.5620179957817157</v>
      </c>
      <c r="J17" s="131">
        <f t="shared" ref="I17:J32" si="4">+H17-F17</f>
        <v>5.5620179957817157</v>
      </c>
      <c r="K17" s="132">
        <f t="shared" ref="K17:L32" si="5">+G17/E17-1</f>
        <v>0.19260344211811775</v>
      </c>
      <c r="L17" s="132">
        <f t="shared" si="5"/>
        <v>0.19260344211811775</v>
      </c>
      <c r="M17" s="131">
        <f>(G17*4+H17*8-E17*4-F17*8)/12</f>
        <v>5.5620179957817157</v>
      </c>
      <c r="N17" s="132">
        <f>+M17/((E17*4+F17*8)/12)</f>
        <v>0.19260344211811781</v>
      </c>
      <c r="Q17" s="16"/>
      <c r="R17" s="17" t="s">
        <v>28</v>
      </c>
      <c r="S17" s="17"/>
      <c r="T17" s="17" t="s">
        <v>20</v>
      </c>
      <c r="U17" s="18"/>
      <c r="V17" s="9"/>
    </row>
    <row r="18" spans="3:24" s="1" customFormat="1" ht="14.25" x14ac:dyDescent="0.35">
      <c r="C18" s="14">
        <f>+IF(D18="","",MAX($C$17:C17)+1)</f>
        <v>2</v>
      </c>
      <c r="D18" s="129">
        <f t="shared" ref="D18:D36" si="6">+D17+100</f>
        <v>150</v>
      </c>
      <c r="E18" s="19">
        <f t="shared" si="0"/>
        <v>36.634246012654856</v>
      </c>
      <c r="F18" s="19">
        <f t="shared" si="1"/>
        <v>36.634246012654856</v>
      </c>
      <c r="G18" s="19">
        <f t="shared" si="2"/>
        <v>43.320300000000003</v>
      </c>
      <c r="H18" s="19">
        <f t="shared" si="3"/>
        <v>43.320300000000003</v>
      </c>
      <c r="I18" s="19">
        <f t="shared" si="4"/>
        <v>6.6860539873451472</v>
      </c>
      <c r="J18" s="19">
        <f t="shared" si="4"/>
        <v>6.6860539873451472</v>
      </c>
      <c r="K18" s="132">
        <f t="shared" si="5"/>
        <v>0.18250830070408797</v>
      </c>
      <c r="L18" s="132">
        <f t="shared" si="5"/>
        <v>0.18250830070408797</v>
      </c>
      <c r="M18" s="19">
        <f t="shared" ref="M18:M36" si="7">(G18*4+H18*8-E18*4-F18*8)/12</f>
        <v>6.6860539873451472</v>
      </c>
      <c r="N18" s="132">
        <f t="shared" ref="N18:N36" si="8">+M18/((E18*4+F18*8)/12)</f>
        <v>0.18250830070408794</v>
      </c>
      <c r="Q18" s="20"/>
      <c r="R18" s="10" t="s">
        <v>26</v>
      </c>
      <c r="S18" s="10" t="s">
        <v>27</v>
      </c>
      <c r="T18" s="10" t="s">
        <v>26</v>
      </c>
      <c r="U18" s="21" t="s">
        <v>27</v>
      </c>
      <c r="V18" s="9"/>
    </row>
    <row r="19" spans="3:24" s="1" customFormat="1" x14ac:dyDescent="0.2">
      <c r="C19" s="14">
        <f>+IF(D19="","",MAX($C$17:C18)+1)</f>
        <v>3</v>
      </c>
      <c r="D19" s="129">
        <f t="shared" si="6"/>
        <v>250</v>
      </c>
      <c r="E19" s="19">
        <f t="shared" si="0"/>
        <v>44.390410021091419</v>
      </c>
      <c r="F19" s="19">
        <f t="shared" si="1"/>
        <v>44.390410021091419</v>
      </c>
      <c r="G19" s="19">
        <f t="shared" si="2"/>
        <v>52.200500000000005</v>
      </c>
      <c r="H19" s="19">
        <f t="shared" si="3"/>
        <v>52.200500000000005</v>
      </c>
      <c r="I19" s="19">
        <f t="shared" si="4"/>
        <v>7.8100899789085858</v>
      </c>
      <c r="J19" s="19">
        <f t="shared" si="4"/>
        <v>7.8100899789085858</v>
      </c>
      <c r="K19" s="132">
        <f t="shared" si="5"/>
        <v>0.17594092902493452</v>
      </c>
      <c r="L19" s="132">
        <f t="shared" si="5"/>
        <v>0.17594092902493452</v>
      </c>
      <c r="M19" s="19">
        <f t="shared" si="7"/>
        <v>7.8100899789085885</v>
      </c>
      <c r="N19" s="132">
        <f t="shared" si="8"/>
        <v>0.17594092902493455</v>
      </c>
      <c r="Q19" s="42"/>
      <c r="R19" s="9"/>
      <c r="S19" s="9"/>
      <c r="T19" s="9"/>
      <c r="U19" s="65"/>
      <c r="V19" s="9"/>
      <c r="W19" s="24"/>
      <c r="X19" s="24"/>
    </row>
    <row r="20" spans="3:24" s="1" customFormat="1" x14ac:dyDescent="0.2">
      <c r="C20" s="14">
        <f>+IF(D20="","",MAX($C$17:C19)+1)</f>
        <v>4</v>
      </c>
      <c r="D20" s="129">
        <f t="shared" si="6"/>
        <v>350</v>
      </c>
      <c r="E20" s="19">
        <f t="shared" si="0"/>
        <v>52.678674029527997</v>
      </c>
      <c r="F20" s="19">
        <f t="shared" si="1"/>
        <v>52.147474029527999</v>
      </c>
      <c r="G20" s="19">
        <f t="shared" si="2"/>
        <v>61.714850000000006</v>
      </c>
      <c r="H20" s="19">
        <f t="shared" si="3"/>
        <v>61.081950000000006</v>
      </c>
      <c r="I20" s="19">
        <f t="shared" si="4"/>
        <v>9.0361759704720086</v>
      </c>
      <c r="J20" s="19">
        <f t="shared" si="4"/>
        <v>8.9344759704720076</v>
      </c>
      <c r="K20" s="132">
        <f t="shared" si="5"/>
        <v>0.17153385382112996</v>
      </c>
      <c r="L20" s="132">
        <f t="shared" si="5"/>
        <v>0.17133094434090812</v>
      </c>
      <c r="M20" s="19">
        <f t="shared" si="7"/>
        <v>8.9683759704720103</v>
      </c>
      <c r="N20" s="132">
        <f t="shared" si="8"/>
        <v>0.17139903859919101</v>
      </c>
      <c r="Q20" s="42" t="s">
        <v>29</v>
      </c>
      <c r="R20" s="45">
        <f>[1]I07!F17</f>
        <v>25</v>
      </c>
      <c r="S20" s="45">
        <f>[1]I07!F17</f>
        <v>25</v>
      </c>
      <c r="T20" s="45">
        <f>[1]I07!H17</f>
        <v>30</v>
      </c>
      <c r="U20" s="46">
        <f>[1]I07!H17</f>
        <v>30</v>
      </c>
      <c r="V20" s="9"/>
      <c r="W20" s="24"/>
      <c r="X20" s="24"/>
    </row>
    <row r="21" spans="3:24" s="1" customFormat="1" x14ac:dyDescent="0.2">
      <c r="C21" s="14">
        <f>+IF(D21="","",MAX($C$17:C20)+1)</f>
        <v>5</v>
      </c>
      <c r="D21" s="129">
        <f t="shared" si="6"/>
        <v>450</v>
      </c>
      <c r="E21" s="19">
        <f t="shared" si="0"/>
        <v>61.499038037964567</v>
      </c>
      <c r="F21" s="19">
        <f t="shared" si="1"/>
        <v>59.905438037964565</v>
      </c>
      <c r="G21" s="19">
        <f t="shared" si="2"/>
        <v>71.863350000000011</v>
      </c>
      <c r="H21" s="19">
        <f t="shared" si="3"/>
        <v>69.964650000000006</v>
      </c>
      <c r="I21" s="19">
        <f t="shared" si="4"/>
        <v>10.364311962035444</v>
      </c>
      <c r="J21" s="19">
        <f t="shared" si="4"/>
        <v>10.059211962035441</v>
      </c>
      <c r="K21" s="132">
        <f t="shared" si="5"/>
        <v>0.16852803381472969</v>
      </c>
      <c r="L21" s="132">
        <f t="shared" si="5"/>
        <v>0.16791817723894287</v>
      </c>
      <c r="M21" s="19">
        <f t="shared" si="7"/>
        <v>10.160911962035447</v>
      </c>
      <c r="N21" s="132">
        <f t="shared" si="8"/>
        <v>0.16812503626777939</v>
      </c>
      <c r="Q21" s="42" t="s">
        <v>30</v>
      </c>
      <c r="R21" s="47">
        <f>[1]I07!F20</f>
        <v>7.4534000000000003E-2</v>
      </c>
      <c r="S21" s="47">
        <f>[1]I07!F24</f>
        <v>7.4534000000000003E-2</v>
      </c>
      <c r="T21" s="47">
        <f>[1]I07!H20</f>
        <v>8.8802000000000006E-2</v>
      </c>
      <c r="U21" s="48">
        <f>[1]I07!H24</f>
        <v>8.8802000000000006E-2</v>
      </c>
      <c r="V21" s="9"/>
    </row>
    <row r="22" spans="3:24" s="1" customFormat="1" x14ac:dyDescent="0.2">
      <c r="C22" s="14">
        <f>+IF(D22="","",MAX($C$17:C21)+1)</f>
        <v>6</v>
      </c>
      <c r="D22" s="129">
        <f t="shared" si="6"/>
        <v>550</v>
      </c>
      <c r="E22" s="19">
        <f t="shared" si="0"/>
        <v>70.319402046401137</v>
      </c>
      <c r="F22" s="19">
        <f t="shared" si="1"/>
        <v>67.663402046401131</v>
      </c>
      <c r="G22" s="19">
        <f t="shared" si="2"/>
        <v>82.01185000000001</v>
      </c>
      <c r="H22" s="19">
        <f t="shared" si="3"/>
        <v>78.847350000000006</v>
      </c>
      <c r="I22" s="19">
        <f t="shared" si="4"/>
        <v>11.692447953598872</v>
      </c>
      <c r="J22" s="19">
        <f t="shared" si="4"/>
        <v>11.183947953598874</v>
      </c>
      <c r="K22" s="132">
        <f t="shared" si="5"/>
        <v>0.16627627103375353</v>
      </c>
      <c r="L22" s="132">
        <f t="shared" si="5"/>
        <v>0.16528799344037304</v>
      </c>
      <c r="M22" s="19">
        <f t="shared" si="7"/>
        <v>11.353447953598874</v>
      </c>
      <c r="N22" s="132">
        <f t="shared" si="8"/>
        <v>0.16562592862880693</v>
      </c>
      <c r="Q22" s="42" t="s">
        <v>31</v>
      </c>
      <c r="R22" s="47">
        <f>[1]I07!F21</f>
        <v>8.5176000000000002E-2</v>
      </c>
      <c r="S22" s="49">
        <f>[1]I07!F25</f>
        <v>7.4551999999999993E-2</v>
      </c>
      <c r="T22" s="47">
        <f>[1]I07!H21</f>
        <v>0.10148500000000001</v>
      </c>
      <c r="U22" s="48">
        <f>[1]I07!H25</f>
        <v>8.8827000000000003E-2</v>
      </c>
      <c r="V22" s="9"/>
    </row>
    <row r="23" spans="3:24" s="1" customFormat="1" x14ac:dyDescent="0.2">
      <c r="C23" s="14">
        <f>+IF(D23="","",MAX($C$17:C22)+1)</f>
        <v>7</v>
      </c>
      <c r="D23" s="129">
        <f t="shared" si="6"/>
        <v>650</v>
      </c>
      <c r="E23" s="19">
        <f t="shared" si="0"/>
        <v>79.139766054837708</v>
      </c>
      <c r="F23" s="19">
        <f t="shared" si="1"/>
        <v>75.421366054837705</v>
      </c>
      <c r="G23" s="19">
        <f t="shared" si="2"/>
        <v>92.160350000000008</v>
      </c>
      <c r="H23" s="19">
        <f t="shared" si="3"/>
        <v>87.730050000000006</v>
      </c>
      <c r="I23" s="19">
        <f t="shared" si="4"/>
        <v>13.020583945162301</v>
      </c>
      <c r="J23" s="19">
        <f t="shared" si="4"/>
        <v>12.308683945162301</v>
      </c>
      <c r="K23" s="132">
        <f t="shared" si="5"/>
        <v>0.16452643966801772</v>
      </c>
      <c r="L23" s="132">
        <f t="shared" si="5"/>
        <v>0.16319889958255129</v>
      </c>
      <c r="M23" s="19">
        <f t="shared" si="7"/>
        <v>12.545983945162297</v>
      </c>
      <c r="N23" s="132">
        <f t="shared" si="8"/>
        <v>0.16365572222179869</v>
      </c>
      <c r="Q23" s="54" t="s">
        <v>33</v>
      </c>
      <c r="R23" s="55">
        <f>[1]I07!G28/[1]I07!E27</f>
        <v>3.0276400843656888E-3</v>
      </c>
      <c r="S23" s="55">
        <f>R23</f>
        <v>3.0276400843656888E-3</v>
      </c>
      <c r="T23" s="55">
        <v>0</v>
      </c>
      <c r="U23" s="66">
        <v>0</v>
      </c>
      <c r="V23" s="9"/>
    </row>
    <row r="24" spans="3:24" s="1" customFormat="1" x14ac:dyDescent="0.2">
      <c r="C24" s="14">
        <f>+IF(D24="","",MAX($C$17:C23)+1)</f>
        <v>8</v>
      </c>
      <c r="D24" s="129">
        <f t="shared" si="6"/>
        <v>750</v>
      </c>
      <c r="E24" s="19">
        <f t="shared" si="0"/>
        <v>87.960130063274278</v>
      </c>
      <c r="F24" s="19">
        <f t="shared" si="1"/>
        <v>83.179330063274278</v>
      </c>
      <c r="G24" s="19">
        <f t="shared" si="2"/>
        <v>102.30885000000001</v>
      </c>
      <c r="H24" s="19">
        <f t="shared" si="3"/>
        <v>96.612750000000005</v>
      </c>
      <c r="I24" s="19">
        <f t="shared" si="4"/>
        <v>14.348719936725729</v>
      </c>
      <c r="J24" s="19">
        <f t="shared" si="4"/>
        <v>13.433419936725727</v>
      </c>
      <c r="K24" s="132">
        <f t="shared" si="5"/>
        <v>0.16312754342682245</v>
      </c>
      <c r="L24" s="132">
        <f t="shared" si="5"/>
        <v>0.16149949664786867</v>
      </c>
      <c r="M24" s="19">
        <f t="shared" si="7"/>
        <v>13.738519936725728</v>
      </c>
      <c r="N24" s="132">
        <f t="shared" si="8"/>
        <v>0.16206258208217336</v>
      </c>
      <c r="Q24" s="9"/>
      <c r="R24" s="9"/>
      <c r="S24" s="9"/>
      <c r="T24" s="9"/>
      <c r="U24" s="9"/>
      <c r="V24" s="9"/>
    </row>
    <row r="25" spans="3:24" s="1" customFormat="1" x14ac:dyDescent="0.2">
      <c r="C25" s="14">
        <f>+IF(D25="","",MAX($C$17:C24)+1)</f>
        <v>9</v>
      </c>
      <c r="D25" s="129">
        <f t="shared" si="6"/>
        <v>850</v>
      </c>
      <c r="E25" s="19">
        <f t="shared" si="0"/>
        <v>96.780494071710848</v>
      </c>
      <c r="F25" s="19">
        <f t="shared" si="1"/>
        <v>90.937294071710838</v>
      </c>
      <c r="G25" s="19">
        <f t="shared" si="2"/>
        <v>112.45735000000002</v>
      </c>
      <c r="H25" s="19">
        <f t="shared" si="3"/>
        <v>105.49545000000001</v>
      </c>
      <c r="I25" s="19">
        <f t="shared" si="4"/>
        <v>15.676855928289172</v>
      </c>
      <c r="J25" s="19">
        <f t="shared" si="4"/>
        <v>14.558155928289167</v>
      </c>
      <c r="K25" s="132">
        <f t="shared" si="5"/>
        <v>0.16198363191526166</v>
      </c>
      <c r="L25" s="132">
        <f t="shared" si="5"/>
        <v>0.16009004970841745</v>
      </c>
      <c r="M25" s="19">
        <f t="shared" si="7"/>
        <v>14.931055928289169</v>
      </c>
      <c r="N25" s="132">
        <f t="shared" si="8"/>
        <v>0.16074771516381475</v>
      </c>
      <c r="Q25" s="9"/>
      <c r="R25" s="9"/>
      <c r="S25" s="9"/>
      <c r="T25" s="9"/>
      <c r="U25" s="9"/>
      <c r="V25" s="9"/>
    </row>
    <row r="26" spans="3:24" s="1" customFormat="1" x14ac:dyDescent="0.2">
      <c r="C26" s="14">
        <f>+IF(D26="","",MAX($C$17:C25)+1)</f>
        <v>10</v>
      </c>
      <c r="D26" s="129">
        <f t="shared" si="6"/>
        <v>950</v>
      </c>
      <c r="E26" s="19">
        <f t="shared" si="0"/>
        <v>105.60085808014742</v>
      </c>
      <c r="F26" s="19">
        <f t="shared" si="1"/>
        <v>98.695258080147411</v>
      </c>
      <c r="G26" s="19">
        <f t="shared" si="2"/>
        <v>122.60585</v>
      </c>
      <c r="H26" s="19">
        <f t="shared" si="3"/>
        <v>114.37815000000001</v>
      </c>
      <c r="I26" s="19">
        <f t="shared" si="4"/>
        <v>17.004991919852586</v>
      </c>
      <c r="J26" s="19">
        <f t="shared" si="4"/>
        <v>15.682891919852594</v>
      </c>
      <c r="K26" s="132">
        <f t="shared" si="5"/>
        <v>0.16103081195558455</v>
      </c>
      <c r="L26" s="132">
        <f t="shared" si="5"/>
        <v>0.15890218258628996</v>
      </c>
      <c r="M26" s="19">
        <f t="shared" si="7"/>
        <v>16.123591919852601</v>
      </c>
      <c r="N26" s="132">
        <f t="shared" si="8"/>
        <v>0.15964406868286823</v>
      </c>
      <c r="Q26" s="58">
        <v>250</v>
      </c>
      <c r="R26" s="59" t="s">
        <v>34</v>
      </c>
      <c r="S26" s="59" t="s">
        <v>20</v>
      </c>
      <c r="T26" s="59" t="s">
        <v>15</v>
      </c>
      <c r="U26" s="60"/>
      <c r="V26" s="9"/>
    </row>
    <row r="27" spans="3:24" s="1" customFormat="1" x14ac:dyDescent="0.2">
      <c r="C27" s="14">
        <f>+IF(D27="","",MAX($C$17:C26)+1)</f>
        <v>11</v>
      </c>
      <c r="D27" s="129">
        <f t="shared" si="6"/>
        <v>1050</v>
      </c>
      <c r="E27" s="19">
        <f t="shared" si="0"/>
        <v>114.42122208858397</v>
      </c>
      <c r="F27" s="19">
        <f t="shared" si="1"/>
        <v>106.45322208858398</v>
      </c>
      <c r="G27" s="19">
        <f t="shared" si="2"/>
        <v>132.75435000000002</v>
      </c>
      <c r="H27" s="19">
        <f t="shared" si="3"/>
        <v>123.26085</v>
      </c>
      <c r="I27" s="19">
        <f t="shared" si="4"/>
        <v>18.333127911416042</v>
      </c>
      <c r="J27" s="19">
        <f t="shared" si="4"/>
        <v>16.80762791141602</v>
      </c>
      <c r="K27" s="132">
        <f t="shared" si="5"/>
        <v>0.16022489164835774</v>
      </c>
      <c r="L27" s="132">
        <f t="shared" si="5"/>
        <v>0.15788745123590275</v>
      </c>
      <c r="M27" s="19">
        <f t="shared" si="7"/>
        <v>17.316127911416032</v>
      </c>
      <c r="N27" s="132">
        <f t="shared" si="8"/>
        <v>0.15870453092734318</v>
      </c>
      <c r="Q27" s="61" t="s">
        <v>35</v>
      </c>
      <c r="R27" s="62">
        <f>+SUM(INDEX(E$17:E$36,MATCH($Q$26,$D$17:$D$36,0))*4,INDEX(F$17:F$36,MATCH($Q$26,$D$17:$D$36,0))*8)/12</f>
        <v>44.390410021091419</v>
      </c>
      <c r="S27" s="62">
        <f>+SUM(INDEX(G$17:G$36,MATCH($Q$26,$D$17:$D$36,0))*4,INDEX(H$17:H$36,MATCH($Q$26,$D$17:$D$36,0))*8)/12</f>
        <v>52.200500000000005</v>
      </c>
      <c r="T27" s="62">
        <f>+S27-R27</f>
        <v>7.8100899789085858</v>
      </c>
      <c r="U27" s="63">
        <f>+S27/R27-1</f>
        <v>0.17594092902493452</v>
      </c>
      <c r="V27" s="9"/>
    </row>
    <row r="28" spans="3:24" s="1" customFormat="1" x14ac:dyDescent="0.2">
      <c r="C28" s="14">
        <f>+IF(D28="","",MAX($C$17:C27)+1)</f>
        <v>12</v>
      </c>
      <c r="D28" s="129">
        <f t="shared" si="6"/>
        <v>1150</v>
      </c>
      <c r="E28" s="19">
        <f t="shared" si="0"/>
        <v>123.24158609702056</v>
      </c>
      <c r="F28" s="19">
        <f t="shared" si="1"/>
        <v>114.21118609702054</v>
      </c>
      <c r="G28" s="19">
        <f t="shared" si="2"/>
        <v>142.90285</v>
      </c>
      <c r="H28" s="19">
        <f t="shared" si="3"/>
        <v>132.14355</v>
      </c>
      <c r="I28" s="19">
        <f t="shared" si="4"/>
        <v>19.661263902979442</v>
      </c>
      <c r="J28" s="19">
        <f t="shared" si="4"/>
        <v>17.932363902979461</v>
      </c>
      <c r="K28" s="132">
        <f t="shared" si="5"/>
        <v>0.15953433029903819</v>
      </c>
      <c r="L28" s="132">
        <f t="shared" si="5"/>
        <v>0.15701057414591779</v>
      </c>
      <c r="M28" s="19">
        <f t="shared" si="7"/>
        <v>18.508663902979453</v>
      </c>
      <c r="N28" s="132">
        <f t="shared" si="8"/>
        <v>0.1578950313212967</v>
      </c>
      <c r="Q28" s="9"/>
      <c r="R28" s="9"/>
      <c r="S28" s="9"/>
      <c r="T28" s="9"/>
      <c r="U28" s="9"/>
      <c r="V28" s="9"/>
    </row>
    <row r="29" spans="3:24" s="1" customFormat="1" x14ac:dyDescent="0.2">
      <c r="C29" s="14">
        <f>+IF(D29="","",MAX($C$17:C28)+1)</f>
        <v>13</v>
      </c>
      <c r="D29" s="129">
        <f t="shared" si="6"/>
        <v>1250</v>
      </c>
      <c r="E29" s="19">
        <f t="shared" si="0"/>
        <v>132.0619501054571</v>
      </c>
      <c r="F29" s="19">
        <f t="shared" si="1"/>
        <v>121.96915010545712</v>
      </c>
      <c r="G29" s="19">
        <f t="shared" si="2"/>
        <v>153.05135000000001</v>
      </c>
      <c r="H29" s="19">
        <f t="shared" si="3"/>
        <v>141.02625</v>
      </c>
      <c r="I29" s="19">
        <f t="shared" si="4"/>
        <v>20.989399894542913</v>
      </c>
      <c r="J29" s="19">
        <f t="shared" si="4"/>
        <v>19.057099894542887</v>
      </c>
      <c r="K29" s="132">
        <f t="shared" si="5"/>
        <v>0.15893601357379605</v>
      </c>
      <c r="L29" s="132">
        <f t="shared" si="5"/>
        <v>0.15624524626158109</v>
      </c>
      <c r="M29" s="19">
        <f t="shared" si="7"/>
        <v>19.701199894542885</v>
      </c>
      <c r="N29" s="132">
        <f t="shared" si="8"/>
        <v>0.15719032004339931</v>
      </c>
      <c r="Q29" s="9"/>
      <c r="R29" s="9"/>
      <c r="S29" s="9"/>
      <c r="T29" s="9"/>
      <c r="U29" s="9"/>
      <c r="V29" s="9"/>
    </row>
    <row r="30" spans="3:24" s="1" customFormat="1" x14ac:dyDescent="0.2">
      <c r="C30" s="14">
        <f>+IF(D30="","",MAX($C$17:C29)+1)</f>
        <v>14</v>
      </c>
      <c r="D30" s="129">
        <f t="shared" si="6"/>
        <v>1350</v>
      </c>
      <c r="E30" s="19">
        <f t="shared" si="0"/>
        <v>140.8823141138937</v>
      </c>
      <c r="F30" s="19">
        <f t="shared" si="1"/>
        <v>129.72711411389366</v>
      </c>
      <c r="G30" s="19">
        <f t="shared" si="2"/>
        <v>163.19985000000003</v>
      </c>
      <c r="H30" s="19">
        <f t="shared" si="3"/>
        <v>149.90895</v>
      </c>
      <c r="I30" s="19">
        <f t="shared" si="4"/>
        <v>22.317535886106327</v>
      </c>
      <c r="J30" s="19">
        <f t="shared" si="4"/>
        <v>20.181835886106342</v>
      </c>
      <c r="K30" s="132">
        <f t="shared" si="5"/>
        <v>0.1584126157103305</v>
      </c>
      <c r="L30" s="132">
        <f t="shared" si="5"/>
        <v>0.15557145492643687</v>
      </c>
      <c r="M30" s="19">
        <f t="shared" si="7"/>
        <v>20.893735886106338</v>
      </c>
      <c r="N30" s="132">
        <f t="shared" si="8"/>
        <v>0.15657128697689951</v>
      </c>
      <c r="Q30" s="9"/>
      <c r="R30" s="9"/>
      <c r="S30" s="9"/>
      <c r="T30" s="9"/>
      <c r="U30" s="9"/>
      <c r="V30" s="9"/>
    </row>
    <row r="31" spans="3:24" s="1" customFormat="1" x14ac:dyDescent="0.2">
      <c r="C31" s="14">
        <f>+IF(D31="","",MAX($C$17:C30)+1)</f>
        <v>15</v>
      </c>
      <c r="D31" s="129">
        <f t="shared" si="6"/>
        <v>1450</v>
      </c>
      <c r="E31" s="19">
        <f t="shared" si="0"/>
        <v>149.70267812233024</v>
      </c>
      <c r="F31" s="19">
        <f t="shared" si="1"/>
        <v>137.48507812233024</v>
      </c>
      <c r="G31" s="19">
        <f t="shared" si="2"/>
        <v>173.34835000000001</v>
      </c>
      <c r="H31" s="19">
        <f t="shared" si="3"/>
        <v>158.79165</v>
      </c>
      <c r="I31" s="19">
        <f t="shared" si="4"/>
        <v>23.64567187766977</v>
      </c>
      <c r="J31" s="19">
        <f t="shared" si="4"/>
        <v>21.306571877669768</v>
      </c>
      <c r="K31" s="132">
        <f t="shared" si="5"/>
        <v>0.1579508942274741</v>
      </c>
      <c r="L31" s="132">
        <f t="shared" si="5"/>
        <v>0.15497370455513582</v>
      </c>
      <c r="M31" s="19">
        <f t="shared" si="7"/>
        <v>22.08627187766977</v>
      </c>
      <c r="N31" s="132">
        <f t="shared" si="8"/>
        <v>0.156023202500752</v>
      </c>
      <c r="Q31" s="9"/>
      <c r="R31" s="9"/>
      <c r="S31" s="9"/>
      <c r="T31" s="9"/>
      <c r="U31" s="9"/>
      <c r="V31" s="9"/>
    </row>
    <row r="32" spans="3:24" s="1" customFormat="1" x14ac:dyDescent="0.2">
      <c r="C32" s="14">
        <f>+IF(D32="","",MAX($C$17:C31)+1)</f>
        <v>16</v>
      </c>
      <c r="D32" s="129">
        <f t="shared" si="6"/>
        <v>1550</v>
      </c>
      <c r="E32" s="19">
        <f t="shared" si="0"/>
        <v>158.52304213076681</v>
      </c>
      <c r="F32" s="19">
        <f t="shared" si="1"/>
        <v>145.24304213076684</v>
      </c>
      <c r="G32" s="19">
        <f t="shared" si="2"/>
        <v>183.49684999999999</v>
      </c>
      <c r="H32" s="19">
        <f t="shared" si="3"/>
        <v>167.67435</v>
      </c>
      <c r="I32" s="19">
        <f t="shared" si="4"/>
        <v>24.973807869233184</v>
      </c>
      <c r="J32" s="19">
        <f t="shared" si="4"/>
        <v>22.431307869233166</v>
      </c>
      <c r="K32" s="132">
        <f t="shared" si="5"/>
        <v>0.15754055393809629</v>
      </c>
      <c r="L32" s="132">
        <f t="shared" si="5"/>
        <v>0.15443981026669462</v>
      </c>
      <c r="M32" s="19">
        <f t="shared" si="7"/>
        <v>23.278807869233162</v>
      </c>
      <c r="N32" s="132">
        <f t="shared" si="8"/>
        <v>0.15553453037540982</v>
      </c>
      <c r="Q32" s="9"/>
      <c r="R32" s="9"/>
      <c r="S32" s="9"/>
      <c r="T32" s="9"/>
      <c r="U32" s="9"/>
      <c r="V32" s="9"/>
    </row>
    <row r="33" spans="3:22" s="1" customFormat="1" x14ac:dyDescent="0.2">
      <c r="C33" s="14">
        <f>+IF(D33="","",MAX($C$17:C32)+1)</f>
        <v>17</v>
      </c>
      <c r="D33" s="129">
        <f t="shared" si="6"/>
        <v>1650</v>
      </c>
      <c r="E33" s="19">
        <f t="shared" si="0"/>
        <v>167.34340613920338</v>
      </c>
      <c r="F33" s="19">
        <f t="shared" si="1"/>
        <v>153.00100613920338</v>
      </c>
      <c r="G33" s="19">
        <f t="shared" si="2"/>
        <v>193.64535000000001</v>
      </c>
      <c r="H33" s="19">
        <f t="shared" si="3"/>
        <v>176.55705</v>
      </c>
      <c r="I33" s="19">
        <f t="shared" ref="I33:J36" si="9">+G33-E33</f>
        <v>26.301943860796626</v>
      </c>
      <c r="J33" s="19">
        <f t="shared" si="9"/>
        <v>23.55604386079662</v>
      </c>
      <c r="K33" s="132">
        <f t="shared" ref="K33:L36" si="10">+G33/E33-1</f>
        <v>0.15717347021679218</v>
      </c>
      <c r="L33" s="132">
        <f t="shared" si="10"/>
        <v>0.15396005853298034</v>
      </c>
      <c r="M33" s="19">
        <f t="shared" si="7"/>
        <v>24.471343860796633</v>
      </c>
      <c r="N33" s="132">
        <f t="shared" si="8"/>
        <v>0.15509610683000249</v>
      </c>
      <c r="Q33" s="9"/>
      <c r="R33" s="9"/>
      <c r="S33" s="9"/>
      <c r="T33" s="9"/>
      <c r="U33" s="9"/>
      <c r="V33" s="9"/>
    </row>
    <row r="34" spans="3:22" s="1" customFormat="1" x14ac:dyDescent="0.2">
      <c r="C34" s="14">
        <f>+IF(D34="","",MAX($C$17:C33)+1)</f>
        <v>18</v>
      </c>
      <c r="D34" s="129">
        <f t="shared" si="6"/>
        <v>1750</v>
      </c>
      <c r="E34" s="19">
        <f t="shared" si="0"/>
        <v>176.16377014763998</v>
      </c>
      <c r="F34" s="19">
        <f t="shared" si="1"/>
        <v>160.75897014763996</v>
      </c>
      <c r="G34" s="19">
        <f t="shared" si="2"/>
        <v>203.79385000000002</v>
      </c>
      <c r="H34" s="19">
        <f t="shared" si="3"/>
        <v>185.43975</v>
      </c>
      <c r="I34" s="19">
        <f t="shared" si="9"/>
        <v>27.630079852360041</v>
      </c>
      <c r="J34" s="19">
        <f t="shared" si="9"/>
        <v>24.680779852360047</v>
      </c>
      <c r="K34" s="132">
        <f t="shared" si="10"/>
        <v>0.15684314560935952</v>
      </c>
      <c r="L34" s="132">
        <f t="shared" si="10"/>
        <v>0.15352661086154873</v>
      </c>
      <c r="M34" s="19">
        <f t="shared" si="7"/>
        <v>25.663879852360044</v>
      </c>
      <c r="N34" s="132">
        <f t="shared" si="8"/>
        <v>0.1547005605019324</v>
      </c>
    </row>
    <row r="35" spans="3:22" x14ac:dyDescent="0.2">
      <c r="C35" s="67">
        <f>+IF(D35="","",MAX($C$17:C34)+1)</f>
        <v>19</v>
      </c>
      <c r="D35" s="129">
        <f t="shared" si="6"/>
        <v>1850</v>
      </c>
      <c r="E35" s="19">
        <f t="shared" si="0"/>
        <v>184.98413415607649</v>
      </c>
      <c r="F35" s="19">
        <f t="shared" si="1"/>
        <v>168.5169341560765</v>
      </c>
      <c r="G35" s="19">
        <f t="shared" si="2"/>
        <v>213.94235</v>
      </c>
      <c r="H35" s="19">
        <f t="shared" si="3"/>
        <v>194.32245</v>
      </c>
      <c r="I35" s="19">
        <f t="shared" si="9"/>
        <v>28.958215843923512</v>
      </c>
      <c r="J35" s="19">
        <f t="shared" si="9"/>
        <v>25.805515843923502</v>
      </c>
      <c r="K35" s="132">
        <f t="shared" si="10"/>
        <v>0.15654432190109135</v>
      </c>
      <c r="L35" s="132">
        <f t="shared" si="10"/>
        <v>0.15313307219334416</v>
      </c>
      <c r="M35" s="19">
        <f t="shared" si="7"/>
        <v>26.856415843923514</v>
      </c>
      <c r="N35" s="132">
        <f t="shared" si="8"/>
        <v>0.15434189462972411</v>
      </c>
    </row>
    <row r="36" spans="3:22" x14ac:dyDescent="0.2">
      <c r="C36" s="67">
        <f>+IF(D36="","",MAX($C$17:C35)+1)</f>
        <v>20</v>
      </c>
      <c r="D36" s="68">
        <f t="shared" si="6"/>
        <v>1950</v>
      </c>
      <c r="E36" s="19">
        <f t="shared" si="0"/>
        <v>193.80449816451309</v>
      </c>
      <c r="F36" s="19">
        <f t="shared" si="1"/>
        <v>176.27489816451308</v>
      </c>
      <c r="G36" s="19">
        <f t="shared" si="2"/>
        <v>224.09085000000002</v>
      </c>
      <c r="H36" s="19">
        <f t="shared" si="3"/>
        <v>203.20515</v>
      </c>
      <c r="I36" s="19">
        <f t="shared" si="9"/>
        <v>30.286351835486926</v>
      </c>
      <c r="J36" s="19">
        <f t="shared" si="9"/>
        <v>26.930251835486928</v>
      </c>
      <c r="K36" s="69">
        <f t="shared" si="10"/>
        <v>0.15627269811755351</v>
      </c>
      <c r="L36" s="69">
        <f t="shared" si="10"/>
        <v>0.15277417327085097</v>
      </c>
      <c r="M36" s="19">
        <f t="shared" si="7"/>
        <v>28.048951835486928</v>
      </c>
      <c r="N36" s="15">
        <f t="shared" si="8"/>
        <v>0.15401518090832148</v>
      </c>
    </row>
    <row r="37" spans="3:22" ht="12.75" thickBot="1" x14ac:dyDescent="0.25"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</row>
    <row r="38" spans="3:22" ht="12.75" thickTop="1" x14ac:dyDescent="0.2"/>
    <row r="40" spans="3:22" x14ac:dyDescent="0.2">
      <c r="M40" s="69"/>
    </row>
    <row r="98" spans="3:14" x14ac:dyDescent="0.2">
      <c r="C98" s="67">
        <f>+IF(D98="","",MAX($C$17:C40)+1)</f>
        <v>21</v>
      </c>
      <c r="D98" s="68">
        <v>2250</v>
      </c>
      <c r="E98" s="71">
        <f>SUM($R$20,MIN($D98,300)*$R$21,MAX(0,$D98-300)*$R$22,$D98*R$23)</f>
        <v>220.26559018982277</v>
      </c>
      <c r="F98" s="71">
        <f>SUM($S$20,MIN($D98,300)*$S$21,MAX(0,$D98-300)*$S$22,$D98*S$23)</f>
        <v>199.5487901898228</v>
      </c>
      <c r="G98" s="71">
        <f>SUM($T$20,MIN($D98,300)*$T$21,MAX(0,$D98-300)*$T$22,$D98*T$23)</f>
        <v>254.53635000000003</v>
      </c>
      <c r="H98" s="71">
        <f>SUM($U$20,MIN($D98,300)*$U$21,MAX(0,$D98-300)*$U$22,$D98*U$23)</f>
        <v>229.85325</v>
      </c>
      <c r="I98" s="71">
        <f>+G98-E98</f>
        <v>34.270759810177253</v>
      </c>
      <c r="J98" s="71">
        <f>+H98-F98</f>
        <v>30.304459810177207</v>
      </c>
      <c r="K98" s="69">
        <f>+G98/E98-1</f>
        <v>0.15558835032127827</v>
      </c>
      <c r="L98" s="69">
        <f>+H98/F98-1</f>
        <v>0.15186491374540423</v>
      </c>
      <c r="M98" s="71">
        <f>(G98*4+H98*8-E98*3-F98*9)/12</f>
        <v>33.352959810177254</v>
      </c>
      <c r="N98" s="69">
        <f>+M98/((E98*3+F98*9)/12)</f>
        <v>0.16291353116519414</v>
      </c>
    </row>
    <row r="99" spans="3:14" x14ac:dyDescent="0.2">
      <c r="C99" s="67">
        <f>+IF(D99="","",MAX($C$17:C98)+1)</f>
        <v>22</v>
      </c>
      <c r="D99" s="68">
        <v>2500</v>
      </c>
      <c r="E99" s="71">
        <f>SUM($R$20,MIN($D99,300)*$R$21,MAX(0,$D99-300)*$R$22,$D99*R$23)</f>
        <v>242.31650021091426</v>
      </c>
      <c r="F99" s="71">
        <f>SUM($S$20,MIN($D99,300)*$S$21,MAX(0,$D99-300)*$S$22,$D99*S$23)</f>
        <v>218.94370021091422</v>
      </c>
      <c r="G99" s="71">
        <f>SUM($T$20,MIN($D99,300)*$T$21,MAX(0,$D99-300)*$T$22,$D99*T$23)</f>
        <v>279.9076</v>
      </c>
      <c r="H99" s="71">
        <f>SUM($U$20,MIN($D99,300)*$U$21,MAX(0,$D99-300)*$U$22,$D99*U$23)</f>
        <v>252.06</v>
      </c>
      <c r="I99" s="71">
        <f>+G99-E99</f>
        <v>37.591099789085746</v>
      </c>
      <c r="J99" s="71">
        <f>+H99-F99</f>
        <v>33.116299789085787</v>
      </c>
      <c r="K99" s="69">
        <f>+G99/E99-1</f>
        <v>0.15513223307684854</v>
      </c>
      <c r="L99" s="69">
        <f>+H99/F99-1</f>
        <v>0.15125486486792727</v>
      </c>
      <c r="M99" s="71">
        <f>(G99*4+H99*8-E99*3-F99*9)/12</f>
        <v>36.555633122419103</v>
      </c>
      <c r="N99" s="69">
        <f>+M99/((E99*3+F99*9)/12)</f>
        <v>0.16262350291818381</v>
      </c>
    </row>
  </sheetData>
  <printOptions horizontalCentered="1"/>
  <pageMargins left="0.25" right="0.25" top="0.5" bottom="0.5" header="0.3" footer="0.3"/>
  <pageSetup fitToHeight="0" orientation="landscape" r:id="rId1"/>
  <headerFooter scaleWithDoc="0">
    <oddFooter>&amp;R&amp;10Exhibit No. 45
Case No. IPC-E-25-16
G. Anderson, IPC
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1919-EA13-46D0-870D-913C55666BFF}">
  <sheetPr>
    <tabColor theme="3"/>
    <pageSetUpPr fitToPage="1"/>
  </sheetPr>
  <dimension ref="C3:XEW49"/>
  <sheetViews>
    <sheetView showGridLines="0" view="pageBreakPreview" topLeftCell="A13" zoomScale="110" zoomScaleNormal="100" zoomScaleSheetLayoutView="110" workbookViewId="0">
      <selection activeCell="C16" sqref="C16:P45"/>
    </sheetView>
  </sheetViews>
  <sheetFormatPr defaultColWidth="9.140625" defaultRowHeight="12" x14ac:dyDescent="0.2"/>
  <cols>
    <col min="1" max="2" width="1.7109375" style="9" customWidth="1"/>
    <col min="3" max="5" width="8.7109375" style="9" customWidth="1"/>
    <col min="6" max="6" width="11.7109375" style="9" customWidth="1"/>
    <col min="7" max="15" width="12.7109375" style="9" customWidth="1"/>
    <col min="16" max="16" width="9.7109375" style="9" customWidth="1"/>
    <col min="17" max="17" width="1.7109375" style="1" customWidth="1"/>
    <col min="18" max="18" width="1.7109375" style="9" customWidth="1"/>
    <col min="19" max="19" width="17.140625" style="9" customWidth="1"/>
    <col min="20" max="25" width="12.7109375" style="9" customWidth="1"/>
    <col min="26" max="16384" width="9.140625" style="9"/>
  </cols>
  <sheetData>
    <row r="3" spans="3:23 16377:16377" x14ac:dyDescent="0.2">
      <c r="C3" s="2" t="str">
        <f>+Company</f>
        <v>Idaho Power Company</v>
      </c>
      <c r="D3" s="72"/>
      <c r="E3" s="11"/>
      <c r="F3" s="11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3:23 16377:16377" x14ac:dyDescent="0.2">
      <c r="C4" s="2" t="str">
        <f>+State</f>
        <v>State of Idaho</v>
      </c>
      <c r="D4" s="72"/>
      <c r="E4" s="11"/>
      <c r="F4" s="11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3:23 16377:16377" x14ac:dyDescent="0.2">
      <c r="C5" s="2" t="str">
        <f>+HeadingTitle2</f>
        <v>Monthly Adjusted Base Revenue Comparison</v>
      </c>
      <c r="D5" s="72"/>
      <c r="E5" s="11"/>
      <c r="F5" s="11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3:23 16377:16377" x14ac:dyDescent="0.2">
      <c r="C6" s="2" t="str">
        <f>+Version</f>
        <v>Filed May 30, 2025</v>
      </c>
      <c r="D6" s="72"/>
      <c r="E6" s="11"/>
      <c r="F6" s="11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3:23 16377:16377" x14ac:dyDescent="0.2">
      <c r="C7" s="2" t="str">
        <f>+Docket</f>
        <v>IPC-E-25-16</v>
      </c>
      <c r="D7" s="72"/>
      <c r="E7" s="11"/>
      <c r="F7" s="11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3:23 16377:16377" x14ac:dyDescent="0.2">
      <c r="C8" s="11"/>
      <c r="D8" s="11"/>
      <c r="E8" s="11"/>
      <c r="F8" s="11"/>
      <c r="G8" s="73"/>
      <c r="H8" s="73"/>
      <c r="I8" s="73"/>
      <c r="J8" s="73"/>
      <c r="K8" s="73"/>
      <c r="L8" s="73"/>
      <c r="M8" s="73"/>
      <c r="N8" s="73"/>
    </row>
    <row r="9" spans="3:23 16377:16377" x14ac:dyDescent="0.2">
      <c r="C9" s="2" t="s">
        <v>47</v>
      </c>
      <c r="D9" s="72"/>
      <c r="E9" s="11"/>
      <c r="F9" s="11"/>
      <c r="G9" s="73"/>
      <c r="H9" s="73"/>
      <c r="I9" s="73"/>
      <c r="J9" s="73"/>
      <c r="K9" s="73"/>
      <c r="L9" s="73"/>
      <c r="M9" s="73"/>
      <c r="N9" s="73"/>
      <c r="O9" s="73"/>
      <c r="P9" s="73"/>
    </row>
    <row r="10" spans="3:23 16377:16377" x14ac:dyDescent="0.2">
      <c r="C10" s="74" t="s">
        <v>48</v>
      </c>
      <c r="D10" s="72"/>
      <c r="E10" s="11"/>
      <c r="F10" s="11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2" spans="3:23 16377:16377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  <c r="O12" s="8" t="s">
        <v>49</v>
      </c>
      <c r="P12" s="8" t="s">
        <v>50</v>
      </c>
    </row>
    <row r="13" spans="3:23 16377:16377" ht="16.5" x14ac:dyDescent="0.35">
      <c r="E13" s="10"/>
      <c r="F13" s="10"/>
      <c r="G13" s="10" t="s">
        <v>14</v>
      </c>
      <c r="H13" s="10"/>
      <c r="I13" s="11"/>
      <c r="J13" s="10"/>
      <c r="K13" s="10" t="s">
        <v>15</v>
      </c>
      <c r="L13" s="10"/>
      <c r="M13" s="11"/>
      <c r="N13" s="10"/>
      <c r="O13" s="117" t="s">
        <v>16</v>
      </c>
      <c r="P13" s="117"/>
      <c r="Q13" s="9"/>
      <c r="R13" s="10"/>
      <c r="S13" s="10"/>
      <c r="T13" s="10"/>
      <c r="XEW13" s="12" t="s">
        <v>51</v>
      </c>
    </row>
    <row r="14" spans="3:23 16377:16377" ht="16.5" x14ac:dyDescent="0.35">
      <c r="C14" s="13" t="s">
        <v>18</v>
      </c>
      <c r="D14" s="75" t="s">
        <v>52</v>
      </c>
      <c r="E14" s="75" t="s">
        <v>53</v>
      </c>
      <c r="G14" s="10" t="s">
        <v>19</v>
      </c>
      <c r="H14" s="10"/>
      <c r="I14" s="10" t="s">
        <v>20</v>
      </c>
      <c r="J14" s="10"/>
      <c r="K14" s="10" t="s">
        <v>21</v>
      </c>
      <c r="L14" s="10"/>
      <c r="M14" s="10" t="s">
        <v>22</v>
      </c>
      <c r="N14" s="10"/>
      <c r="O14" s="118" t="s">
        <v>23</v>
      </c>
      <c r="P14" s="118"/>
      <c r="Q14" s="9"/>
      <c r="R14" s="10"/>
      <c r="S14" s="16"/>
      <c r="T14" s="17" t="s">
        <v>19</v>
      </c>
      <c r="U14" s="17"/>
      <c r="V14" s="17" t="s">
        <v>20</v>
      </c>
      <c r="W14" s="18"/>
      <c r="XEW14" s="12" t="s">
        <v>51</v>
      </c>
    </row>
    <row r="15" spans="3:23 16377:16377" ht="16.5" customHeight="1" x14ac:dyDescent="0.35">
      <c r="C15" s="10" t="s">
        <v>24</v>
      </c>
      <c r="D15" s="10" t="s">
        <v>54</v>
      </c>
      <c r="E15" s="10" t="s">
        <v>55</v>
      </c>
      <c r="F15" s="10" t="s">
        <v>25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26</v>
      </c>
      <c r="N15" s="10" t="s">
        <v>27</v>
      </c>
      <c r="O15" s="10" t="s">
        <v>21</v>
      </c>
      <c r="P15" s="10" t="s">
        <v>22</v>
      </c>
      <c r="Q15" s="9"/>
      <c r="S15" s="20"/>
      <c r="T15" s="10" t="s">
        <v>26</v>
      </c>
      <c r="U15" s="10" t="s">
        <v>27</v>
      </c>
      <c r="V15" s="10" t="s">
        <v>26</v>
      </c>
      <c r="W15" s="21" t="s">
        <v>27</v>
      </c>
    </row>
    <row r="16" spans="3:23 16377:16377" x14ac:dyDescent="0.2">
      <c r="C16" s="122">
        <v>1</v>
      </c>
      <c r="D16" s="123">
        <v>10</v>
      </c>
      <c r="E16" s="124">
        <v>0.2</v>
      </c>
      <c r="F16" s="123">
        <f t="shared" ref="F16:F45" si="0">+MROUND(D16*30.5*24*E16,1000)</f>
        <v>1000</v>
      </c>
      <c r="G16" s="125">
        <f t="shared" ref="G16:G45" si="1">$T$16+($T$17*$D16*$T$20)+($T$18*$D16)+($F16*$T$19)+($F16*T$21)</f>
        <v>185.21238938890937</v>
      </c>
      <c r="H16" s="125">
        <f t="shared" ref="H16:H45" si="2">$U$16+($U$17*$D16*$U$20)+($U$18*$D16)+($F16*$U$19)+($U$21*F16)</f>
        <v>165.97538938890938</v>
      </c>
      <c r="I16" s="125">
        <f t="shared" ref="I16:I45" si="3">$V$16+($V$17*$D16*$V$20)+($V$18*$D16)+($F16*$V$19)</f>
        <v>212.88882347355928</v>
      </c>
      <c r="J16" s="125">
        <f t="shared" ref="J16:J45" si="4">$W$16+($W$17*$D16*$W$20)+($W$18*$D16)+($F16*$W$19)</f>
        <v>192.80482347355928</v>
      </c>
      <c r="K16" s="125">
        <f>I16-G16</f>
        <v>27.676434084649912</v>
      </c>
      <c r="L16" s="125">
        <f>J16-H16</f>
        <v>26.829434084649904</v>
      </c>
      <c r="M16" s="126">
        <f>+I16/G16-1</f>
        <v>0.14943079227024536</v>
      </c>
      <c r="N16" s="126">
        <f>+J16/H16-1</f>
        <v>0.16164706215440083</v>
      </c>
      <c r="O16" s="125">
        <f>(I16*4+J16*8-G16*4-H16*8)/12</f>
        <v>27.111767417983248</v>
      </c>
      <c r="P16" s="126">
        <f>+O16/((G16*4+H16*8)/12)</f>
        <v>0.15727203184687752</v>
      </c>
      <c r="S16" s="42" t="s">
        <v>29</v>
      </c>
      <c r="T16" s="45">
        <f>[1]I09S!F17</f>
        <v>25</v>
      </c>
      <c r="U16" s="45">
        <f>[1]I09S!F17</f>
        <v>25</v>
      </c>
      <c r="V16" s="45">
        <f>[1]I09S!H17</f>
        <v>30</v>
      </c>
      <c r="W16" s="46">
        <f>[1]I09S!H17</f>
        <v>30</v>
      </c>
    </row>
    <row r="17" spans="3:23" x14ac:dyDescent="0.2">
      <c r="C17" s="122">
        <f>+IF(D17="","",MAX($C$16:C16)+1)</f>
        <v>2</v>
      </c>
      <c r="D17" s="127">
        <f>+D16</f>
        <v>10</v>
      </c>
      <c r="E17" s="124">
        <f>+E16+15%</f>
        <v>0.35</v>
      </c>
      <c r="F17" s="123">
        <f t="shared" si="0"/>
        <v>3000</v>
      </c>
      <c r="G17" s="77">
        <f t="shared" si="1"/>
        <v>300.58366955764075</v>
      </c>
      <c r="H17" s="77">
        <f t="shared" si="2"/>
        <v>277.47266955764076</v>
      </c>
      <c r="I17" s="77">
        <f t="shared" si="3"/>
        <v>321.06482347355927</v>
      </c>
      <c r="J17" s="77">
        <f t="shared" si="4"/>
        <v>300.41282347355929</v>
      </c>
      <c r="K17" s="77">
        <f t="shared" ref="K17:L45" si="5">I17-G17</f>
        <v>20.481153915918526</v>
      </c>
      <c r="L17" s="77">
        <f t="shared" si="5"/>
        <v>22.940153915918529</v>
      </c>
      <c r="M17" s="126">
        <f t="shared" ref="M17:N45" si="6">+I17/G17-1</f>
        <v>6.81379462366003E-2</v>
      </c>
      <c r="N17" s="126">
        <f t="shared" si="6"/>
        <v>8.2675363856522299E-2</v>
      </c>
      <c r="O17" s="77">
        <f t="shared" ref="O17:O45" si="7">(I17*4+J17*8-G17*4-H17*8)/12</f>
        <v>22.120487249251862</v>
      </c>
      <c r="P17" s="126">
        <f t="shared" ref="P17:P45" si="8">+O17/((G17*4+H17*8)/12)</f>
        <v>7.7567751736079674E-2</v>
      </c>
      <c r="S17" s="42" t="s">
        <v>56</v>
      </c>
      <c r="T17" s="45">
        <f>[1]I09S!F20</f>
        <v>1.58</v>
      </c>
      <c r="U17" s="45">
        <f>[1]I09S!F20</f>
        <v>1.58</v>
      </c>
      <c r="V17" s="45">
        <f>[1]I09S!H20</f>
        <v>2.0299999999999998</v>
      </c>
      <c r="W17" s="46">
        <f>[1]I09S!H20</f>
        <v>2.0299999999999998</v>
      </c>
    </row>
    <row r="18" spans="3:23" x14ac:dyDescent="0.2">
      <c r="C18" s="122">
        <f>+IF(D18="","",MAX($C$16:C17)+1)</f>
        <v>3</v>
      </c>
      <c r="D18" s="127">
        <f>+D17</f>
        <v>10</v>
      </c>
      <c r="E18" s="124">
        <f>+E17+15%</f>
        <v>0.5</v>
      </c>
      <c r="F18" s="123">
        <f t="shared" si="0"/>
        <v>4000</v>
      </c>
      <c r="G18" s="77">
        <f t="shared" si="1"/>
        <v>358.26930964200642</v>
      </c>
      <c r="H18" s="77">
        <f t="shared" si="2"/>
        <v>333.22130964200642</v>
      </c>
      <c r="I18" s="77">
        <f t="shared" si="3"/>
        <v>375.15282347355924</v>
      </c>
      <c r="J18" s="77">
        <f t="shared" si="4"/>
        <v>354.21682347355926</v>
      </c>
      <c r="K18" s="77">
        <f t="shared" si="5"/>
        <v>16.883513831552818</v>
      </c>
      <c r="L18" s="77">
        <f t="shared" si="5"/>
        <v>20.995513831552842</v>
      </c>
      <c r="M18" s="126">
        <f t="shared" si="6"/>
        <v>4.7125202681813194E-2</v>
      </c>
      <c r="N18" s="126">
        <f t="shared" si="6"/>
        <v>6.3007716565633753E-2</v>
      </c>
      <c r="O18" s="77">
        <f t="shared" si="7"/>
        <v>19.624847164886205</v>
      </c>
      <c r="P18" s="126">
        <f t="shared" si="8"/>
        <v>5.7454724428126727E-2</v>
      </c>
      <c r="S18" s="42" t="s">
        <v>57</v>
      </c>
      <c r="T18" s="45">
        <f>[1]I09S!F22</f>
        <v>8.1199999999999992</v>
      </c>
      <c r="U18" s="45">
        <f>[1]I09S!F23</f>
        <v>6.3900000000000006</v>
      </c>
      <c r="V18" s="45">
        <f>[1]I09S!H22</f>
        <v>10.14</v>
      </c>
      <c r="W18" s="46">
        <f>[1]I09S!H23</f>
        <v>8.16</v>
      </c>
    </row>
    <row r="19" spans="3:23" x14ac:dyDescent="0.2">
      <c r="C19" s="122">
        <f>+IF(D19="","",MAX($C$16:C18)+1)</f>
        <v>4</v>
      </c>
      <c r="D19" s="127">
        <f>+D18</f>
        <v>10</v>
      </c>
      <c r="E19" s="124">
        <f>+E18+15%</f>
        <v>0.65</v>
      </c>
      <c r="F19" s="123">
        <f t="shared" si="0"/>
        <v>5000</v>
      </c>
      <c r="G19" s="77">
        <f t="shared" si="1"/>
        <v>415.95494972637215</v>
      </c>
      <c r="H19" s="77">
        <f t="shared" si="2"/>
        <v>388.96994972637214</v>
      </c>
      <c r="I19" s="77">
        <f t="shared" si="3"/>
        <v>429.24082347355932</v>
      </c>
      <c r="J19" s="77">
        <f t="shared" si="4"/>
        <v>408.02082347355929</v>
      </c>
      <c r="K19" s="77">
        <f t="shared" si="5"/>
        <v>13.285873747187168</v>
      </c>
      <c r="L19" s="77">
        <f t="shared" si="5"/>
        <v>19.050873747187154</v>
      </c>
      <c r="M19" s="126">
        <f t="shared" si="6"/>
        <v>3.1940655486674796E-2</v>
      </c>
      <c r="N19" s="126">
        <f t="shared" si="6"/>
        <v>4.897775203608612E-2</v>
      </c>
      <c r="O19" s="77">
        <f t="shared" si="7"/>
        <v>17.129207080520434</v>
      </c>
      <c r="P19" s="126">
        <f t="shared" si="8"/>
        <v>4.3041999282343646E-2</v>
      </c>
      <c r="S19" s="42" t="s">
        <v>58</v>
      </c>
      <c r="T19" s="78">
        <f>[1]I09S!F26</f>
        <v>5.4658000000000005E-2</v>
      </c>
      <c r="U19" s="78">
        <f>[1]I09S!F27</f>
        <v>5.2721000000000004E-2</v>
      </c>
      <c r="V19" s="78">
        <f>[1]I09S!H26</f>
        <v>5.4087999999999997E-2</v>
      </c>
      <c r="W19" s="79">
        <f>[1]I09S!H27</f>
        <v>5.3803999999999998E-2</v>
      </c>
    </row>
    <row r="20" spans="3:23" x14ac:dyDescent="0.2">
      <c r="C20" s="122">
        <f>+IF(D20="","",MAX($C$16:C19)+1)</f>
        <v>5</v>
      </c>
      <c r="D20" s="127">
        <f>+D19</f>
        <v>10</v>
      </c>
      <c r="E20" s="124">
        <f>+E19+15%</f>
        <v>0.8</v>
      </c>
      <c r="F20" s="123">
        <f t="shared" si="0"/>
        <v>6000</v>
      </c>
      <c r="G20" s="77">
        <f t="shared" si="1"/>
        <v>473.64058981073782</v>
      </c>
      <c r="H20" s="77">
        <f t="shared" si="2"/>
        <v>444.7185898107378</v>
      </c>
      <c r="I20" s="77">
        <f t="shared" si="3"/>
        <v>483.32882347355928</v>
      </c>
      <c r="J20" s="77">
        <f t="shared" si="4"/>
        <v>461.82482347355926</v>
      </c>
      <c r="K20" s="77">
        <f t="shared" si="5"/>
        <v>9.6882336628214603</v>
      </c>
      <c r="L20" s="77">
        <f t="shared" si="5"/>
        <v>17.106233662821467</v>
      </c>
      <c r="M20" s="126">
        <f t="shared" si="6"/>
        <v>2.045482137984167E-2</v>
      </c>
      <c r="N20" s="126">
        <f t="shared" si="6"/>
        <v>3.846529930332232E-2</v>
      </c>
      <c r="O20" s="77">
        <f t="shared" si="7"/>
        <v>14.633566996154778</v>
      </c>
      <c r="P20" s="126">
        <f t="shared" si="8"/>
        <v>3.2207040546740819E-2</v>
      </c>
      <c r="S20" s="51" t="s">
        <v>59</v>
      </c>
      <c r="T20" s="80">
        <f>[1]I09S!E20/[1]I09S!E24</f>
        <v>1.3497942597812458</v>
      </c>
      <c r="U20" s="80">
        <f>+T20</f>
        <v>1.3497942597812458</v>
      </c>
      <c r="V20" s="80">
        <f>+U20</f>
        <v>1.3497942597812458</v>
      </c>
      <c r="W20" s="81">
        <f>+V20</f>
        <v>1.3497942597812458</v>
      </c>
    </row>
    <row r="21" spans="3:23" x14ac:dyDescent="0.2">
      <c r="C21" s="128">
        <f>+IF(D21="","",MAX($C$16:C20)+1)</f>
        <v>6</v>
      </c>
      <c r="D21" s="129">
        <v>20</v>
      </c>
      <c r="E21" s="130">
        <f t="shared" ref="E21:E45" si="9">+E16</f>
        <v>0.2</v>
      </c>
      <c r="F21" s="129">
        <f t="shared" si="0"/>
        <v>3000</v>
      </c>
      <c r="G21" s="131">
        <f t="shared" si="1"/>
        <v>403.11041886218447</v>
      </c>
      <c r="H21" s="131">
        <f t="shared" si="2"/>
        <v>362.69941886218447</v>
      </c>
      <c r="I21" s="131">
        <f t="shared" si="3"/>
        <v>449.86564694711853</v>
      </c>
      <c r="J21" s="131">
        <f t="shared" si="4"/>
        <v>409.41364694711854</v>
      </c>
      <c r="K21" s="131">
        <f t="shared" si="5"/>
        <v>46.75522808493406</v>
      </c>
      <c r="L21" s="131">
        <f t="shared" si="5"/>
        <v>46.714228084934064</v>
      </c>
      <c r="M21" s="132">
        <f t="shared" si="6"/>
        <v>0.11598615639085907</v>
      </c>
      <c r="N21" s="132">
        <f t="shared" si="6"/>
        <v>0.12879598272167114</v>
      </c>
      <c r="O21" s="131">
        <f t="shared" si="7"/>
        <v>46.727894751600765</v>
      </c>
      <c r="P21" s="132">
        <f t="shared" si="8"/>
        <v>0.124220234292824</v>
      </c>
      <c r="S21" s="54" t="s">
        <v>33</v>
      </c>
      <c r="T21" s="55">
        <f>[1]I09S!G29/[1]I09S!E28</f>
        <v>3.0276400843656892E-3</v>
      </c>
      <c r="U21" s="55">
        <f>T21</f>
        <v>3.0276400843656892E-3</v>
      </c>
      <c r="V21" s="55">
        <v>0</v>
      </c>
      <c r="W21" s="66">
        <v>0</v>
      </c>
    </row>
    <row r="22" spans="3:23" x14ac:dyDescent="0.2">
      <c r="C22" s="128">
        <f>+IF(D22="","",MAX($C$16:C21)+1)</f>
        <v>7</v>
      </c>
      <c r="D22" s="133">
        <f>+D21</f>
        <v>20</v>
      </c>
      <c r="E22" s="130">
        <f t="shared" si="9"/>
        <v>0.35</v>
      </c>
      <c r="F22" s="129">
        <f t="shared" si="0"/>
        <v>5000</v>
      </c>
      <c r="G22" s="19">
        <f t="shared" si="1"/>
        <v>518.48169903091582</v>
      </c>
      <c r="H22" s="19">
        <f t="shared" si="2"/>
        <v>474.19669903091585</v>
      </c>
      <c r="I22" s="19">
        <f t="shared" si="3"/>
        <v>558.04164694711858</v>
      </c>
      <c r="J22" s="19">
        <f t="shared" si="4"/>
        <v>517.0216469471186</v>
      </c>
      <c r="K22" s="19">
        <f t="shared" si="5"/>
        <v>39.559947916202759</v>
      </c>
      <c r="L22" s="19">
        <f t="shared" si="5"/>
        <v>42.824947916202746</v>
      </c>
      <c r="M22" s="132">
        <f t="shared" si="6"/>
        <v>7.6299603226388735E-2</v>
      </c>
      <c r="N22" s="132">
        <f t="shared" si="6"/>
        <v>9.03105146107539E-2</v>
      </c>
      <c r="O22" s="19">
        <f t="shared" si="7"/>
        <v>41.736614582869457</v>
      </c>
      <c r="P22" s="132">
        <f t="shared" si="8"/>
        <v>8.5358217612914858E-2</v>
      </c>
    </row>
    <row r="23" spans="3:23" x14ac:dyDescent="0.2">
      <c r="C23" s="128">
        <f>+IF(D23="","",MAX($C$16:C22)+1)</f>
        <v>8</v>
      </c>
      <c r="D23" s="133">
        <f>+D22</f>
        <v>20</v>
      </c>
      <c r="E23" s="130">
        <f t="shared" si="9"/>
        <v>0.5</v>
      </c>
      <c r="F23" s="129">
        <f t="shared" si="0"/>
        <v>7000</v>
      </c>
      <c r="G23" s="19">
        <f t="shared" si="1"/>
        <v>633.85297919964728</v>
      </c>
      <c r="H23" s="19">
        <f t="shared" si="2"/>
        <v>585.69397919964717</v>
      </c>
      <c r="I23" s="19">
        <f t="shared" si="3"/>
        <v>666.21764694711851</v>
      </c>
      <c r="J23" s="19">
        <f t="shared" si="4"/>
        <v>624.62964694711854</v>
      </c>
      <c r="K23" s="19">
        <f t="shared" si="5"/>
        <v>32.364667747471231</v>
      </c>
      <c r="L23" s="19">
        <f t="shared" si="5"/>
        <v>38.935667747471371</v>
      </c>
      <c r="M23" s="132">
        <f t="shared" si="6"/>
        <v>5.1060212398681859E-2</v>
      </c>
      <c r="N23" s="132">
        <f t="shared" si="6"/>
        <v>6.6477835064442825E-2</v>
      </c>
      <c r="O23" s="19">
        <f t="shared" si="7"/>
        <v>36.745334414137993</v>
      </c>
      <c r="P23" s="132">
        <f t="shared" si="8"/>
        <v>6.1064426884221472E-2</v>
      </c>
      <c r="S23" s="58">
        <f>+F23</f>
        <v>7000</v>
      </c>
      <c r="T23" s="59" t="s">
        <v>34</v>
      </c>
      <c r="U23" s="59" t="s">
        <v>20</v>
      </c>
      <c r="V23" s="59" t="s">
        <v>15</v>
      </c>
      <c r="W23" s="82" t="s">
        <v>22</v>
      </c>
    </row>
    <row r="24" spans="3:23" x14ac:dyDescent="0.2">
      <c r="C24" s="128">
        <f>+IF(D24="","",MAX($C$16:C23)+1)</f>
        <v>9</v>
      </c>
      <c r="D24" s="133">
        <f>+D23</f>
        <v>20</v>
      </c>
      <c r="E24" s="130">
        <f t="shared" si="9"/>
        <v>0.65</v>
      </c>
      <c r="F24" s="129">
        <f t="shared" si="0"/>
        <v>10000</v>
      </c>
      <c r="G24" s="19">
        <f t="shared" si="1"/>
        <v>806.9098994527443</v>
      </c>
      <c r="H24" s="19">
        <f t="shared" si="2"/>
        <v>752.93989945274427</v>
      </c>
      <c r="I24" s="19">
        <f t="shared" si="3"/>
        <v>828.48164694711863</v>
      </c>
      <c r="J24" s="19">
        <f t="shared" si="4"/>
        <v>786.04164694711858</v>
      </c>
      <c r="K24" s="19">
        <f t="shared" si="5"/>
        <v>21.571747494374335</v>
      </c>
      <c r="L24" s="19">
        <f t="shared" si="5"/>
        <v>33.101747494374308</v>
      </c>
      <c r="M24" s="132">
        <f t="shared" si="6"/>
        <v>2.6733774748586514E-2</v>
      </c>
      <c r="N24" s="132">
        <f t="shared" si="6"/>
        <v>4.3963332954507273E-2</v>
      </c>
      <c r="O24" s="19">
        <f t="shared" si="7"/>
        <v>29.258414161040871</v>
      </c>
      <c r="P24" s="132">
        <f t="shared" si="8"/>
        <v>3.7952107165399061E-2</v>
      </c>
      <c r="S24" s="83">
        <f>+D21</f>
        <v>20</v>
      </c>
      <c r="W24" s="65"/>
    </row>
    <row r="25" spans="3:23" x14ac:dyDescent="0.2">
      <c r="C25" s="128">
        <f>+IF(D25="","",MAX($C$16:C24)+1)</f>
        <v>10</v>
      </c>
      <c r="D25" s="133">
        <f>+D24</f>
        <v>20</v>
      </c>
      <c r="E25" s="130">
        <f t="shared" si="9"/>
        <v>0.8</v>
      </c>
      <c r="F25" s="129">
        <f t="shared" si="0"/>
        <v>12000</v>
      </c>
      <c r="G25" s="19">
        <f t="shared" si="1"/>
        <v>922.28117962147564</v>
      </c>
      <c r="H25" s="19">
        <f t="shared" si="2"/>
        <v>864.43717962147559</v>
      </c>
      <c r="I25" s="19">
        <f t="shared" si="3"/>
        <v>936.65764694711856</v>
      </c>
      <c r="J25" s="19">
        <f t="shared" si="4"/>
        <v>893.64964694711853</v>
      </c>
      <c r="K25" s="19">
        <f t="shared" si="5"/>
        <v>14.376467325642921</v>
      </c>
      <c r="L25" s="19">
        <f t="shared" si="5"/>
        <v>29.212467325642933</v>
      </c>
      <c r="M25" s="132">
        <f t="shared" si="6"/>
        <v>1.5587943940852611E-2</v>
      </c>
      <c r="N25" s="132">
        <f t="shared" si="6"/>
        <v>3.3793626667509402E-2</v>
      </c>
      <c r="O25" s="19">
        <f t="shared" si="7"/>
        <v>24.267133992309557</v>
      </c>
      <c r="P25" s="132">
        <f t="shared" si="8"/>
        <v>2.7460253051811438E-2</v>
      </c>
      <c r="S25" s="61" t="s">
        <v>35</v>
      </c>
      <c r="T25" s="62" cm="1">
        <f t="array" ref="T25">+SUM(INDEX(G$16:G$45,MATCH($S$23&amp;$S$24,$F$16:$F$45&amp;$D$16:$D$45,0))*4,INDEX(H$16:H$45,MATCH($S$23&amp;$S$24,$F$16:$F$45&amp;$D$16:$D$45,0))*8)/12</f>
        <v>601.74697919964717</v>
      </c>
      <c r="U25" s="62" cm="1">
        <f t="array" ref="U25">+SUM(INDEX(I$16:I$45,MATCH($S$23&amp;$S$24,$F$16:$F$45&amp;$D$16:$D$45,0))*4,INDEX(J$16:J$45,MATCH($S$23&amp;$S$24,$F$16:$F$45&amp;$D$16:$D$45,0))*8)/12</f>
        <v>638.4923136137852</v>
      </c>
      <c r="V25" s="62">
        <f>+U25-T25</f>
        <v>36.745334414138028</v>
      </c>
      <c r="W25" s="84">
        <f>+U25/T25-1</f>
        <v>6.1064426884221534E-2</v>
      </c>
    </row>
    <row r="26" spans="3:23" x14ac:dyDescent="0.2">
      <c r="C26" s="122">
        <f>+IF(D26="","",MAX($C$16:C25)+1)</f>
        <v>11</v>
      </c>
      <c r="D26" s="123">
        <v>50</v>
      </c>
      <c r="E26" s="124">
        <f t="shared" si="9"/>
        <v>0.2</v>
      </c>
      <c r="F26" s="123">
        <f t="shared" si="0"/>
        <v>7000</v>
      </c>
      <c r="G26" s="125">
        <f t="shared" si="1"/>
        <v>941.43322711327824</v>
      </c>
      <c r="H26" s="125">
        <f t="shared" si="2"/>
        <v>841.37422711327827</v>
      </c>
      <c r="I26" s="125">
        <f t="shared" si="3"/>
        <v>1052.6201173677964</v>
      </c>
      <c r="J26" s="125">
        <f t="shared" si="4"/>
        <v>951.63211736779635</v>
      </c>
      <c r="K26" s="125">
        <f t="shared" si="5"/>
        <v>111.18689025451818</v>
      </c>
      <c r="L26" s="125">
        <f t="shared" si="5"/>
        <v>110.25789025451809</v>
      </c>
      <c r="M26" s="126">
        <f t="shared" si="6"/>
        <v>0.11810385171495508</v>
      </c>
      <c r="N26" s="126">
        <f t="shared" si="6"/>
        <v>0.13104500554148002</v>
      </c>
      <c r="O26" s="125">
        <f t="shared" si="7"/>
        <v>110.56755692118479</v>
      </c>
      <c r="P26" s="126">
        <f t="shared" si="8"/>
        <v>0.12640232691289735</v>
      </c>
    </row>
    <row r="27" spans="3:23" x14ac:dyDescent="0.2">
      <c r="C27" s="122">
        <f>+IF(D27="","",MAX($C$16:C26)+1)</f>
        <v>12</v>
      </c>
      <c r="D27" s="127">
        <f>+D26</f>
        <v>50</v>
      </c>
      <c r="E27" s="124">
        <f t="shared" si="9"/>
        <v>0.35</v>
      </c>
      <c r="F27" s="123">
        <f t="shared" si="0"/>
        <v>13000</v>
      </c>
      <c r="G27" s="77">
        <f t="shared" si="1"/>
        <v>1287.5470676194725</v>
      </c>
      <c r="H27" s="77">
        <f t="shared" si="2"/>
        <v>1175.8660676194725</v>
      </c>
      <c r="I27" s="77">
        <f t="shared" si="3"/>
        <v>1377.1481173677964</v>
      </c>
      <c r="J27" s="77">
        <f t="shared" si="4"/>
        <v>1274.4561173677964</v>
      </c>
      <c r="K27" s="77">
        <f t="shared" si="5"/>
        <v>89.601049748323931</v>
      </c>
      <c r="L27" s="77">
        <f t="shared" si="5"/>
        <v>98.590049748323963</v>
      </c>
      <c r="M27" s="126">
        <f t="shared" si="6"/>
        <v>6.9590504302095901E-2</v>
      </c>
      <c r="N27" s="126">
        <f t="shared" si="6"/>
        <v>8.3844625219875901E-2</v>
      </c>
      <c r="O27" s="77">
        <f t="shared" si="7"/>
        <v>95.593716414990467</v>
      </c>
      <c r="P27" s="126">
        <f t="shared" si="8"/>
        <v>7.8801634405989918E-2</v>
      </c>
    </row>
    <row r="28" spans="3:23" x14ac:dyDescent="0.2">
      <c r="C28" s="122">
        <f>+IF(D28="","",MAX($C$16:C27)+1)</f>
        <v>13</v>
      </c>
      <c r="D28" s="127">
        <f>+D27</f>
        <v>50</v>
      </c>
      <c r="E28" s="124">
        <f t="shared" si="9"/>
        <v>0.5</v>
      </c>
      <c r="F28" s="123">
        <f t="shared" si="0"/>
        <v>18000</v>
      </c>
      <c r="G28" s="77">
        <f t="shared" si="1"/>
        <v>1575.9752680413008</v>
      </c>
      <c r="H28" s="77">
        <f t="shared" si="2"/>
        <v>1454.6092680413008</v>
      </c>
      <c r="I28" s="77">
        <f t="shared" si="3"/>
        <v>1647.5881173677963</v>
      </c>
      <c r="J28" s="77">
        <f t="shared" si="4"/>
        <v>1543.4761173677964</v>
      </c>
      <c r="K28" s="77">
        <f t="shared" si="5"/>
        <v>71.612849326495507</v>
      </c>
      <c r="L28" s="77">
        <f t="shared" si="5"/>
        <v>88.86684932649564</v>
      </c>
      <c r="M28" s="126">
        <f t="shared" si="6"/>
        <v>4.5440338296361293E-2</v>
      </c>
      <c r="N28" s="126">
        <f t="shared" si="6"/>
        <v>6.1093278641183746E-2</v>
      </c>
      <c r="O28" s="77">
        <f t="shared" si="7"/>
        <v>83.115515993162418</v>
      </c>
      <c r="P28" s="126">
        <f t="shared" si="8"/>
        <v>5.5593260596727402E-2</v>
      </c>
    </row>
    <row r="29" spans="3:23" x14ac:dyDescent="0.2">
      <c r="C29" s="122">
        <f>+IF(D29="","",MAX($C$16:C28)+1)</f>
        <v>14</v>
      </c>
      <c r="D29" s="127">
        <f>+D28</f>
        <v>50</v>
      </c>
      <c r="E29" s="124">
        <f t="shared" si="9"/>
        <v>0.65</v>
      </c>
      <c r="F29" s="123">
        <f t="shared" si="0"/>
        <v>24000</v>
      </c>
      <c r="G29" s="77">
        <f t="shared" si="1"/>
        <v>1922.089108547495</v>
      </c>
      <c r="H29" s="77">
        <f t="shared" si="2"/>
        <v>1789.101108547495</v>
      </c>
      <c r="I29" s="77">
        <f t="shared" si="3"/>
        <v>1972.1161173677963</v>
      </c>
      <c r="J29" s="77">
        <f t="shared" si="4"/>
        <v>1866.3001173677965</v>
      </c>
      <c r="K29" s="77">
        <f t="shared" si="5"/>
        <v>50.027008820301262</v>
      </c>
      <c r="L29" s="77">
        <f t="shared" si="5"/>
        <v>77.199008820301515</v>
      </c>
      <c r="M29" s="126">
        <f t="shared" si="6"/>
        <v>2.6027413920526321E-2</v>
      </c>
      <c r="N29" s="126">
        <f t="shared" si="6"/>
        <v>4.3149606498749771E-2</v>
      </c>
      <c r="O29" s="77">
        <f t="shared" si="7"/>
        <v>68.141675486968026</v>
      </c>
      <c r="P29" s="126">
        <f t="shared" si="8"/>
        <v>3.7166217997921289E-2</v>
      </c>
    </row>
    <row r="30" spans="3:23" x14ac:dyDescent="0.2">
      <c r="C30" s="122">
        <f>+IF(D30="","",MAX($C$16:C29)+1)</f>
        <v>15</v>
      </c>
      <c r="D30" s="127">
        <f>+D29</f>
        <v>50</v>
      </c>
      <c r="E30" s="124">
        <f t="shared" si="9"/>
        <v>0.8</v>
      </c>
      <c r="F30" s="123">
        <f t="shared" si="0"/>
        <v>29000</v>
      </c>
      <c r="G30" s="77">
        <f t="shared" si="1"/>
        <v>2210.5173089693235</v>
      </c>
      <c r="H30" s="77">
        <f t="shared" si="2"/>
        <v>2067.8443089693237</v>
      </c>
      <c r="I30" s="77">
        <f t="shared" si="3"/>
        <v>2242.5561173677961</v>
      </c>
      <c r="J30" s="77">
        <f t="shared" si="4"/>
        <v>2135.3201173677962</v>
      </c>
      <c r="K30" s="77">
        <f t="shared" si="5"/>
        <v>32.038808398472611</v>
      </c>
      <c r="L30" s="77">
        <f t="shared" si="5"/>
        <v>67.475808398472509</v>
      </c>
      <c r="M30" s="126">
        <f t="shared" si="6"/>
        <v>1.4493805711664365E-2</v>
      </c>
      <c r="N30" s="126">
        <f t="shared" si="6"/>
        <v>3.2630990691994821E-2</v>
      </c>
      <c r="O30" s="77">
        <f t="shared" si="7"/>
        <v>55.66347506513921</v>
      </c>
      <c r="P30" s="126">
        <f t="shared" si="8"/>
        <v>2.6313426812605734E-2</v>
      </c>
    </row>
    <row r="31" spans="3:23" x14ac:dyDescent="0.2">
      <c r="C31" s="128">
        <f>+IF(D31="","",MAX($C$16:C30)+1)</f>
        <v>16</v>
      </c>
      <c r="D31" s="129">
        <v>100</v>
      </c>
      <c r="E31" s="130">
        <f t="shared" si="9"/>
        <v>0.2</v>
      </c>
      <c r="F31" s="129">
        <f t="shared" si="0"/>
        <v>15000</v>
      </c>
      <c r="G31" s="131">
        <f t="shared" si="1"/>
        <v>1915.5520943109223</v>
      </c>
      <c r="H31" s="131">
        <f t="shared" si="2"/>
        <v>1713.4970943109222</v>
      </c>
      <c r="I31" s="131">
        <f t="shared" si="3"/>
        <v>2129.3282347355926</v>
      </c>
      <c r="J31" s="131">
        <f t="shared" si="4"/>
        <v>1927.0682347355928</v>
      </c>
      <c r="K31" s="131">
        <f t="shared" si="5"/>
        <v>213.7761404246703</v>
      </c>
      <c r="L31" s="131">
        <f t="shared" si="5"/>
        <v>213.5711404246706</v>
      </c>
      <c r="M31" s="132">
        <f t="shared" si="6"/>
        <v>0.11160027495966984</v>
      </c>
      <c r="N31" s="132">
        <f t="shared" si="6"/>
        <v>0.12464050340894084</v>
      </c>
      <c r="O31" s="131">
        <f t="shared" si="7"/>
        <v>213.63947375800385</v>
      </c>
      <c r="P31" s="132">
        <f t="shared" si="8"/>
        <v>0.1199649731292889</v>
      </c>
    </row>
    <row r="32" spans="3:23" x14ac:dyDescent="0.2">
      <c r="C32" s="128">
        <f>+IF(D32="","",MAX($C$16:C31)+1)</f>
        <v>17</v>
      </c>
      <c r="D32" s="133">
        <f>+D31</f>
        <v>100</v>
      </c>
      <c r="E32" s="130">
        <f t="shared" si="9"/>
        <v>0.35</v>
      </c>
      <c r="F32" s="129">
        <f t="shared" si="0"/>
        <v>26000</v>
      </c>
      <c r="G32" s="19">
        <f t="shared" si="1"/>
        <v>2550.094135238945</v>
      </c>
      <c r="H32" s="19">
        <f t="shared" si="2"/>
        <v>2326.7321352389449</v>
      </c>
      <c r="I32" s="19">
        <f t="shared" si="3"/>
        <v>2724.2962347355929</v>
      </c>
      <c r="J32" s="19">
        <f t="shared" si="4"/>
        <v>2518.9122347355928</v>
      </c>
      <c r="K32" s="19">
        <f t="shared" si="5"/>
        <v>174.20209949664786</v>
      </c>
      <c r="L32" s="19">
        <f t="shared" si="5"/>
        <v>192.18009949664793</v>
      </c>
      <c r="M32" s="132">
        <f t="shared" si="6"/>
        <v>6.8312027030455136E-2</v>
      </c>
      <c r="N32" s="132">
        <f t="shared" si="6"/>
        <v>8.2596572500130971E-2</v>
      </c>
      <c r="O32" s="19">
        <f t="shared" si="7"/>
        <v>186.18743282998093</v>
      </c>
      <c r="P32" s="132">
        <f t="shared" si="8"/>
        <v>7.7539775070978922E-2</v>
      </c>
    </row>
    <row r="33" spans="3:17" x14ac:dyDescent="0.2">
      <c r="C33" s="128">
        <f>+IF(D33="","",MAX($C$16:C32)+1)</f>
        <v>18</v>
      </c>
      <c r="D33" s="133">
        <f>+D32</f>
        <v>100</v>
      </c>
      <c r="E33" s="130">
        <f t="shared" si="9"/>
        <v>0.5</v>
      </c>
      <c r="F33" s="129">
        <f t="shared" si="0"/>
        <v>37000</v>
      </c>
      <c r="G33" s="19">
        <f t="shared" si="1"/>
        <v>3184.6361761669677</v>
      </c>
      <c r="H33" s="19">
        <f t="shared" si="2"/>
        <v>2939.9671761669674</v>
      </c>
      <c r="I33" s="19">
        <f t="shared" si="3"/>
        <v>3319.2642347355927</v>
      </c>
      <c r="J33" s="19">
        <f t="shared" si="4"/>
        <v>3110.7562347355924</v>
      </c>
      <c r="K33" s="19">
        <f t="shared" si="5"/>
        <v>134.62805856862497</v>
      </c>
      <c r="L33" s="19">
        <f t="shared" si="5"/>
        <v>170.78905856862502</v>
      </c>
      <c r="M33" s="132">
        <f t="shared" si="6"/>
        <v>4.2274235146905648E-2</v>
      </c>
      <c r="N33" s="132">
        <f t="shared" si="6"/>
        <v>5.8092165093929449E-2</v>
      </c>
      <c r="O33" s="19">
        <f t="shared" si="7"/>
        <v>158.7353919019582</v>
      </c>
      <c r="P33" s="132">
        <f t="shared" si="8"/>
        <v>5.2534885597567249E-2</v>
      </c>
    </row>
    <row r="34" spans="3:17" x14ac:dyDescent="0.2">
      <c r="C34" s="128">
        <f>+IF(D34="","",MAX($C$16:C33)+1)</f>
        <v>19</v>
      </c>
      <c r="D34" s="133">
        <f>+D33</f>
        <v>100</v>
      </c>
      <c r="E34" s="130">
        <f t="shared" si="9"/>
        <v>0.65</v>
      </c>
      <c r="F34" s="129">
        <f t="shared" si="0"/>
        <v>48000</v>
      </c>
      <c r="G34" s="19">
        <f t="shared" si="1"/>
        <v>3819.17821709499</v>
      </c>
      <c r="H34" s="19">
        <f t="shared" si="2"/>
        <v>3553.2022170949899</v>
      </c>
      <c r="I34" s="19">
        <f t="shared" si="3"/>
        <v>3914.2322347355926</v>
      </c>
      <c r="J34" s="19">
        <f t="shared" si="4"/>
        <v>3702.6002347355929</v>
      </c>
      <c r="K34" s="19">
        <f t="shared" si="5"/>
        <v>95.054017640602524</v>
      </c>
      <c r="L34" s="19">
        <f t="shared" si="5"/>
        <v>149.39801764060303</v>
      </c>
      <c r="M34" s="132">
        <f t="shared" si="6"/>
        <v>2.4888604887599142E-2</v>
      </c>
      <c r="N34" s="132">
        <f t="shared" si="6"/>
        <v>4.2046021732685679E-2</v>
      </c>
      <c r="O34" s="19">
        <f t="shared" si="7"/>
        <v>131.28335097393605</v>
      </c>
      <c r="P34" s="132">
        <f t="shared" si="8"/>
        <v>3.6048425561586592E-2</v>
      </c>
    </row>
    <row r="35" spans="3:17" x14ac:dyDescent="0.2">
      <c r="C35" s="128">
        <f>+IF(D35="","",MAX($C$16:C34)+1)</f>
        <v>20</v>
      </c>
      <c r="D35" s="133">
        <f>+D34</f>
        <v>100</v>
      </c>
      <c r="E35" s="130">
        <f t="shared" si="9"/>
        <v>0.8</v>
      </c>
      <c r="F35" s="129">
        <f t="shared" si="0"/>
        <v>59000</v>
      </c>
      <c r="G35" s="19">
        <f t="shared" si="1"/>
        <v>4453.7202580230123</v>
      </c>
      <c r="H35" s="19">
        <f t="shared" si="2"/>
        <v>4166.4372580230129</v>
      </c>
      <c r="I35" s="19">
        <f t="shared" si="3"/>
        <v>4509.2002347355929</v>
      </c>
      <c r="J35" s="19">
        <f t="shared" si="4"/>
        <v>4294.4442347355925</v>
      </c>
      <c r="K35" s="19">
        <f t="shared" si="5"/>
        <v>55.479976712580537</v>
      </c>
      <c r="L35" s="19">
        <f t="shared" si="5"/>
        <v>128.00697671257967</v>
      </c>
      <c r="M35" s="132">
        <f t="shared" si="6"/>
        <v>1.2456996285888922E-2</v>
      </c>
      <c r="N35" s="132">
        <f t="shared" si="6"/>
        <v>3.0723365980391382E-2</v>
      </c>
      <c r="O35" s="19">
        <f t="shared" si="7"/>
        <v>103.8313100459133</v>
      </c>
      <c r="P35" s="132">
        <f t="shared" si="8"/>
        <v>2.4360976134900545E-2</v>
      </c>
    </row>
    <row r="36" spans="3:17" x14ac:dyDescent="0.2">
      <c r="C36" s="122">
        <f>+IF(D36="","",MAX($C$16:C35)+1)</f>
        <v>21</v>
      </c>
      <c r="D36" s="123">
        <v>300</v>
      </c>
      <c r="E36" s="124">
        <f t="shared" si="9"/>
        <v>0.2</v>
      </c>
      <c r="F36" s="123">
        <f t="shared" si="0"/>
        <v>44000</v>
      </c>
      <c r="G36" s="125">
        <f t="shared" si="1"/>
        <v>5638.9706428484014</v>
      </c>
      <c r="H36" s="125">
        <f t="shared" si="2"/>
        <v>5034.7426428484014</v>
      </c>
      <c r="I36" s="125">
        <f t="shared" si="3"/>
        <v>6273.8967042067779</v>
      </c>
      <c r="J36" s="125">
        <f t="shared" si="4"/>
        <v>5667.4007042067788</v>
      </c>
      <c r="K36" s="125">
        <f t="shared" si="5"/>
        <v>634.9260613583765</v>
      </c>
      <c r="L36" s="125">
        <f t="shared" si="5"/>
        <v>632.65806135837738</v>
      </c>
      <c r="M36" s="126">
        <f t="shared" si="6"/>
        <v>0.11259609272192583</v>
      </c>
      <c r="N36" s="126">
        <f t="shared" si="6"/>
        <v>0.12565847079731807</v>
      </c>
      <c r="O36" s="125">
        <f t="shared" si="7"/>
        <v>633.41406135837678</v>
      </c>
      <c r="P36" s="126">
        <f t="shared" si="8"/>
        <v>0.12096938061378995</v>
      </c>
    </row>
    <row r="37" spans="3:17" x14ac:dyDescent="0.2">
      <c r="C37" s="122">
        <f>+IF(D37="","",MAX($C$16:C36)+1)</f>
        <v>22</v>
      </c>
      <c r="D37" s="127">
        <f>+D36</f>
        <v>300</v>
      </c>
      <c r="E37" s="124">
        <f t="shared" si="9"/>
        <v>0.35</v>
      </c>
      <c r="F37" s="123">
        <f t="shared" si="0"/>
        <v>77000</v>
      </c>
      <c r="G37" s="77">
        <f t="shared" si="1"/>
        <v>7542.5967656324683</v>
      </c>
      <c r="H37" s="77">
        <f t="shared" si="2"/>
        <v>6874.4477656324689</v>
      </c>
      <c r="I37" s="77">
        <f t="shared" si="3"/>
        <v>8058.8007042067784</v>
      </c>
      <c r="J37" s="77">
        <f t="shared" si="4"/>
        <v>7442.932704206778</v>
      </c>
      <c r="K37" s="77">
        <f t="shared" si="5"/>
        <v>516.20393857431009</v>
      </c>
      <c r="L37" s="77">
        <f t="shared" si="5"/>
        <v>568.48493857430913</v>
      </c>
      <c r="M37" s="126">
        <f t="shared" si="6"/>
        <v>6.8438490696781207E-2</v>
      </c>
      <c r="N37" s="126">
        <f t="shared" si="6"/>
        <v>8.2695360842851118E-2</v>
      </c>
      <c r="O37" s="77">
        <f t="shared" si="7"/>
        <v>551.05793857430888</v>
      </c>
      <c r="P37" s="126">
        <f t="shared" si="8"/>
        <v>7.7644807262468266E-2</v>
      </c>
    </row>
    <row r="38" spans="3:17" x14ac:dyDescent="0.2">
      <c r="C38" s="122">
        <f>+IF(D38="","",MAX($C$16:C37)+1)</f>
        <v>23</v>
      </c>
      <c r="D38" s="127">
        <f>+D37</f>
        <v>300</v>
      </c>
      <c r="E38" s="124">
        <f t="shared" si="9"/>
        <v>0.5</v>
      </c>
      <c r="F38" s="123">
        <f t="shared" si="0"/>
        <v>110000</v>
      </c>
      <c r="G38" s="77">
        <f t="shared" si="1"/>
        <v>9446.2228884165361</v>
      </c>
      <c r="H38" s="77">
        <f t="shared" si="2"/>
        <v>8714.1528884165364</v>
      </c>
      <c r="I38" s="77">
        <f t="shared" si="3"/>
        <v>9843.7047042067788</v>
      </c>
      <c r="J38" s="77">
        <f t="shared" si="4"/>
        <v>9218.4647042067772</v>
      </c>
      <c r="K38" s="77">
        <f t="shared" si="5"/>
        <v>397.48181579024276</v>
      </c>
      <c r="L38" s="77">
        <f t="shared" si="5"/>
        <v>504.31181579024087</v>
      </c>
      <c r="M38" s="126">
        <f t="shared" si="6"/>
        <v>4.2078386301646065E-2</v>
      </c>
      <c r="N38" s="126">
        <f t="shared" si="6"/>
        <v>5.7872729827888048E-2</v>
      </c>
      <c r="O38" s="77">
        <f t="shared" si="7"/>
        <v>468.70181579024091</v>
      </c>
      <c r="P38" s="126">
        <f t="shared" si="8"/>
        <v>5.2321120302619567E-2</v>
      </c>
    </row>
    <row r="39" spans="3:17" x14ac:dyDescent="0.2">
      <c r="C39" s="122">
        <f>+IF(D39="","",MAX($C$16:C38)+1)</f>
        <v>24</v>
      </c>
      <c r="D39" s="127">
        <f>+D38</f>
        <v>300</v>
      </c>
      <c r="E39" s="124">
        <f t="shared" si="9"/>
        <v>0.65</v>
      </c>
      <c r="F39" s="123">
        <f t="shared" si="0"/>
        <v>143000</v>
      </c>
      <c r="G39" s="77">
        <f t="shared" si="1"/>
        <v>11349.849011200604</v>
      </c>
      <c r="H39" s="77">
        <f t="shared" si="2"/>
        <v>10553.858011200606</v>
      </c>
      <c r="I39" s="77">
        <f t="shared" si="3"/>
        <v>11628.608704206777</v>
      </c>
      <c r="J39" s="77">
        <f t="shared" si="4"/>
        <v>10993.996704206778</v>
      </c>
      <c r="K39" s="77">
        <f t="shared" si="5"/>
        <v>278.75969300617362</v>
      </c>
      <c r="L39" s="77">
        <f t="shared" si="5"/>
        <v>440.13869300617262</v>
      </c>
      <c r="M39" s="126">
        <f t="shared" si="6"/>
        <v>2.4560652104805847E-2</v>
      </c>
      <c r="N39" s="126">
        <f t="shared" si="6"/>
        <v>4.170405670978905E-2</v>
      </c>
      <c r="O39" s="77">
        <f t="shared" si="7"/>
        <v>386.34569300617295</v>
      </c>
      <c r="P39" s="126">
        <f t="shared" si="8"/>
        <v>3.5709304681932279E-2</v>
      </c>
    </row>
    <row r="40" spans="3:17" x14ac:dyDescent="0.2">
      <c r="C40" s="122">
        <f>+IF(D40="","",MAX($C$16:C39)+1)</f>
        <v>25</v>
      </c>
      <c r="D40" s="127">
        <f>+D39</f>
        <v>300</v>
      </c>
      <c r="E40" s="124">
        <f t="shared" si="9"/>
        <v>0.8</v>
      </c>
      <c r="F40" s="123">
        <f t="shared" si="0"/>
        <v>176000</v>
      </c>
      <c r="G40" s="77">
        <f t="shared" si="1"/>
        <v>13253.475133984672</v>
      </c>
      <c r="H40" s="77">
        <f t="shared" si="2"/>
        <v>12393.563133984671</v>
      </c>
      <c r="I40" s="77">
        <f t="shared" si="3"/>
        <v>13413.512704206778</v>
      </c>
      <c r="J40" s="77">
        <f t="shared" si="4"/>
        <v>12769.528704206778</v>
      </c>
      <c r="K40" s="77">
        <f t="shared" si="5"/>
        <v>160.0375702221063</v>
      </c>
      <c r="L40" s="77">
        <f t="shared" si="5"/>
        <v>375.96557022210618</v>
      </c>
      <c r="M40" s="126">
        <f t="shared" si="6"/>
        <v>1.2075140188080757E-2</v>
      </c>
      <c r="N40" s="126">
        <f t="shared" si="6"/>
        <v>3.0335551298493302E-2</v>
      </c>
      <c r="O40" s="77">
        <f t="shared" si="7"/>
        <v>303.98957022210743</v>
      </c>
      <c r="P40" s="126">
        <f t="shared" si="8"/>
        <v>2.3973561853821733E-2</v>
      </c>
    </row>
    <row r="41" spans="3:17" x14ac:dyDescent="0.2">
      <c r="C41" s="128">
        <f>+IF(D41="","",MAX($C$16:C40)+1)</f>
        <v>26</v>
      </c>
      <c r="D41" s="129">
        <v>500</v>
      </c>
      <c r="E41" s="130">
        <f t="shared" si="9"/>
        <v>0.2</v>
      </c>
      <c r="F41" s="129">
        <f t="shared" si="0"/>
        <v>73000</v>
      </c>
      <c r="G41" s="131">
        <f t="shared" si="1"/>
        <v>9362.3891913858806</v>
      </c>
      <c r="H41" s="131">
        <f t="shared" si="2"/>
        <v>8355.9881913858808</v>
      </c>
      <c r="I41" s="131">
        <f t="shared" si="3"/>
        <v>10418.465173677963</v>
      </c>
      <c r="J41" s="131">
        <f t="shared" si="4"/>
        <v>9407.7331736779634</v>
      </c>
      <c r="K41" s="131">
        <f t="shared" si="5"/>
        <v>1056.0759822920827</v>
      </c>
      <c r="L41" s="131">
        <f t="shared" si="5"/>
        <v>1051.7449822920826</v>
      </c>
      <c r="M41" s="132">
        <f t="shared" si="6"/>
        <v>0.11279983780889546</v>
      </c>
      <c r="N41" s="132">
        <f t="shared" si="6"/>
        <v>0.12586721740180518</v>
      </c>
      <c r="O41" s="131">
        <f t="shared" si="7"/>
        <v>1053.1886489587487</v>
      </c>
      <c r="P41" s="132">
        <f t="shared" si="8"/>
        <v>0.12117518019336579</v>
      </c>
    </row>
    <row r="42" spans="3:17" x14ac:dyDescent="0.2">
      <c r="C42" s="128">
        <f>+IF(D42="","",MAX($C$16:C41)+1)</f>
        <v>27</v>
      </c>
      <c r="D42" s="133">
        <f>+D41</f>
        <v>500</v>
      </c>
      <c r="E42" s="130">
        <f t="shared" si="9"/>
        <v>0.35</v>
      </c>
      <c r="F42" s="129">
        <f t="shared" si="0"/>
        <v>128000</v>
      </c>
      <c r="G42" s="19">
        <f t="shared" si="1"/>
        <v>12535.099396025991</v>
      </c>
      <c r="H42" s="19">
        <f t="shared" si="2"/>
        <v>11422.163396025993</v>
      </c>
      <c r="I42" s="19">
        <f t="shared" si="3"/>
        <v>13393.305173677963</v>
      </c>
      <c r="J42" s="19">
        <f t="shared" si="4"/>
        <v>12366.953173677965</v>
      </c>
      <c r="K42" s="19">
        <f t="shared" si="5"/>
        <v>858.20577765197231</v>
      </c>
      <c r="L42" s="19">
        <f t="shared" si="5"/>
        <v>944.78977765197124</v>
      </c>
      <c r="M42" s="132">
        <f t="shared" si="6"/>
        <v>6.8464217996073495E-2</v>
      </c>
      <c r="N42" s="132">
        <f t="shared" si="6"/>
        <v>8.2715484352174684E-2</v>
      </c>
      <c r="O42" s="19">
        <f t="shared" si="7"/>
        <v>915.92844431863944</v>
      </c>
      <c r="P42" s="132">
        <f t="shared" si="8"/>
        <v>7.7666192728751943E-2</v>
      </c>
    </row>
    <row r="43" spans="3:17" x14ac:dyDescent="0.2">
      <c r="C43" s="128">
        <f>+IF(D43="","",MAX($C$16:C42)+1)</f>
        <v>28</v>
      </c>
      <c r="D43" s="133">
        <f>+D42</f>
        <v>500</v>
      </c>
      <c r="E43" s="130">
        <f t="shared" si="9"/>
        <v>0.5</v>
      </c>
      <c r="F43" s="129">
        <f t="shared" si="0"/>
        <v>183000</v>
      </c>
      <c r="G43" s="19">
        <f t="shared" si="1"/>
        <v>15707.809600666105</v>
      </c>
      <c r="H43" s="19">
        <f t="shared" si="2"/>
        <v>14488.338600666108</v>
      </c>
      <c r="I43" s="19">
        <f t="shared" si="3"/>
        <v>16368.145173677964</v>
      </c>
      <c r="J43" s="19">
        <f t="shared" si="4"/>
        <v>15326.173173677964</v>
      </c>
      <c r="K43" s="19">
        <f t="shared" si="5"/>
        <v>660.33557301185829</v>
      </c>
      <c r="L43" s="19">
        <f t="shared" si="5"/>
        <v>837.83457301185626</v>
      </c>
      <c r="M43" s="132">
        <f t="shared" si="6"/>
        <v>4.2038679472143237E-2</v>
      </c>
      <c r="N43" s="132">
        <f t="shared" si="6"/>
        <v>5.7828202122038874E-2</v>
      </c>
      <c r="O43" s="19">
        <f t="shared" si="7"/>
        <v>778.66823967852417</v>
      </c>
      <c r="P43" s="132">
        <f t="shared" si="8"/>
        <v>5.227775647030828E-2</v>
      </c>
    </row>
    <row r="44" spans="3:17" x14ac:dyDescent="0.2">
      <c r="C44" s="128">
        <f>+IF(D44="","",MAX($C$16:C43)+1)</f>
        <v>29</v>
      </c>
      <c r="D44" s="133">
        <f>+D43</f>
        <v>500</v>
      </c>
      <c r="E44" s="130">
        <f t="shared" si="9"/>
        <v>0.65</v>
      </c>
      <c r="F44" s="129">
        <f t="shared" si="0"/>
        <v>238000</v>
      </c>
      <c r="G44" s="19">
        <f t="shared" si="1"/>
        <v>18880.519805306219</v>
      </c>
      <c r="H44" s="19">
        <f t="shared" si="2"/>
        <v>17554.513805306222</v>
      </c>
      <c r="I44" s="19">
        <f t="shared" si="3"/>
        <v>19342.985173677964</v>
      </c>
      <c r="J44" s="19">
        <f t="shared" si="4"/>
        <v>18285.393173677963</v>
      </c>
      <c r="K44" s="19">
        <f t="shared" si="5"/>
        <v>462.46536837174426</v>
      </c>
      <c r="L44" s="19">
        <f t="shared" si="5"/>
        <v>730.87936837174129</v>
      </c>
      <c r="M44" s="132">
        <f t="shared" si="6"/>
        <v>2.4494313352631858E-2</v>
      </c>
      <c r="N44" s="132">
        <f t="shared" si="6"/>
        <v>4.1634839704351112E-2</v>
      </c>
      <c r="O44" s="19">
        <f t="shared" si="7"/>
        <v>641.40803503841016</v>
      </c>
      <c r="P44" s="132">
        <f t="shared" si="8"/>
        <v>3.5640678561196432E-2</v>
      </c>
    </row>
    <row r="45" spans="3:17" x14ac:dyDescent="0.2">
      <c r="C45" s="128">
        <f>+IF(D45="","",MAX($C$16:C44)+1)</f>
        <v>30</v>
      </c>
      <c r="D45" s="133">
        <f>+D44</f>
        <v>500</v>
      </c>
      <c r="E45" s="130">
        <f t="shared" si="9"/>
        <v>0.8</v>
      </c>
      <c r="F45" s="129">
        <f t="shared" si="0"/>
        <v>293000</v>
      </c>
      <c r="G45" s="19">
        <f t="shared" si="1"/>
        <v>22053.230009946332</v>
      </c>
      <c r="H45" s="19">
        <f t="shared" si="2"/>
        <v>20620.689009946334</v>
      </c>
      <c r="I45" s="19">
        <f t="shared" si="3"/>
        <v>22317.825173677964</v>
      </c>
      <c r="J45" s="19">
        <f t="shared" si="4"/>
        <v>21244.613173677964</v>
      </c>
      <c r="K45" s="19">
        <f t="shared" si="5"/>
        <v>264.59516373163206</v>
      </c>
      <c r="L45" s="19">
        <f t="shared" si="5"/>
        <v>623.92416373162996</v>
      </c>
      <c r="M45" s="132">
        <f t="shared" si="6"/>
        <v>1.1998023129142332E-2</v>
      </c>
      <c r="N45" s="132">
        <f t="shared" si="6"/>
        <v>3.0257192833405444E-2</v>
      </c>
      <c r="O45" s="19">
        <f t="shared" si="7"/>
        <v>504.14783039829734</v>
      </c>
      <c r="P45" s="132">
        <f t="shared" si="8"/>
        <v>2.3895297534378919E-2</v>
      </c>
    </row>
    <row r="46" spans="3:17" ht="6" customHeight="1" thickBot="1" x14ac:dyDescent="0.25"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</row>
    <row r="47" spans="3:17" ht="12.75" thickTop="1" x14ac:dyDescent="0.2">
      <c r="C47" s="64" t="s">
        <v>60</v>
      </c>
    </row>
    <row r="48" spans="3:17" ht="6" customHeight="1" x14ac:dyDescent="0.2">
      <c r="Q48" s="9"/>
    </row>
    <row r="49" spans="17:17" x14ac:dyDescent="0.2">
      <c r="Q49" s="9"/>
    </row>
  </sheetData>
  <mergeCells count="2">
    <mergeCell ref="O13:P13"/>
    <mergeCell ref="O14:P14"/>
  </mergeCells>
  <printOptions horizontalCentered="1"/>
  <pageMargins left="0.25" right="0.25" top="0.5" bottom="0.5" header="0.3" footer="0.3"/>
  <pageSetup scale="91" fitToHeight="0" orientation="landscape" r:id="rId1"/>
  <headerFooter scaleWithDoc="0">
    <oddFooter>&amp;R&amp;10Exhibit No. 45
Case No. IPC-E-25-16
G. Anderson, IPC
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F9E7-826B-45A4-B054-0F7F8D8013D1}">
  <sheetPr>
    <tabColor theme="3"/>
    <pageSetUpPr fitToPage="1"/>
  </sheetPr>
  <dimension ref="C3:XFD48"/>
  <sheetViews>
    <sheetView showGridLines="0" view="pageBreakPreview" topLeftCell="D10" zoomScale="120" zoomScaleNormal="100" zoomScaleSheetLayoutView="120" workbookViewId="0">
      <selection activeCell="D16" sqref="D16:P45"/>
    </sheetView>
  </sheetViews>
  <sheetFormatPr defaultColWidth="9.140625" defaultRowHeight="12" x14ac:dyDescent="0.2"/>
  <cols>
    <col min="1" max="2" width="1.7109375" style="9" customWidth="1"/>
    <col min="3" max="5" width="8.7109375" style="9" customWidth="1"/>
    <col min="6" max="6" width="11.7109375" style="9" customWidth="1"/>
    <col min="7" max="15" width="12.7109375" style="9" customWidth="1"/>
    <col min="16" max="16" width="9.7109375" style="9" customWidth="1"/>
    <col min="17" max="18" width="1.7109375" style="9" customWidth="1"/>
    <col min="19" max="19" width="17.140625" style="9" customWidth="1"/>
    <col min="20" max="23" width="12.7109375" style="9" customWidth="1"/>
    <col min="24" max="16384" width="9.140625" style="9"/>
  </cols>
  <sheetData>
    <row r="3" spans="3:23 16384:16384" x14ac:dyDescent="0.2">
      <c r="C3" s="2" t="str">
        <f>+Company</f>
        <v>Idaho Power Company</v>
      </c>
      <c r="D3" s="72"/>
      <c r="E3" s="11"/>
      <c r="F3" s="11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3:23 16384:16384" x14ac:dyDescent="0.2">
      <c r="C4" s="2" t="str">
        <f>+State</f>
        <v>State of Idaho</v>
      </c>
      <c r="D4" s="72"/>
      <c r="E4" s="11"/>
      <c r="F4" s="11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3:23 16384:16384" x14ac:dyDescent="0.2">
      <c r="C5" s="3" t="str">
        <f>+HeadingTitle2</f>
        <v>Monthly Adjusted Base Revenue Comparison</v>
      </c>
      <c r="D5" s="11"/>
      <c r="E5" s="11"/>
      <c r="F5" s="11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3:23 16384:16384" x14ac:dyDescent="0.2">
      <c r="C6" s="2" t="str">
        <f>+Version</f>
        <v>Filed May 30, 2025</v>
      </c>
      <c r="D6" s="72"/>
      <c r="E6" s="11"/>
      <c r="F6" s="11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3:23 16384:16384" x14ac:dyDescent="0.2">
      <c r="C7" s="2" t="str">
        <f>+Docket</f>
        <v>IPC-E-25-16</v>
      </c>
      <c r="D7" s="72"/>
      <c r="E7" s="11"/>
      <c r="F7" s="11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3:23 16384:16384" x14ac:dyDescent="0.2">
      <c r="C8" s="11"/>
      <c r="D8" s="11"/>
      <c r="E8" s="11"/>
      <c r="F8" s="11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3:23 16384:16384" x14ac:dyDescent="0.2">
      <c r="C9" s="72" t="s">
        <v>61</v>
      </c>
      <c r="D9" s="72"/>
      <c r="E9" s="11"/>
      <c r="F9" s="11"/>
      <c r="G9" s="73"/>
      <c r="H9" s="73"/>
      <c r="I9" s="73"/>
      <c r="J9" s="73"/>
      <c r="K9" s="73"/>
      <c r="L9" s="73"/>
      <c r="M9" s="73"/>
      <c r="N9" s="73"/>
      <c r="O9" s="73"/>
      <c r="P9" s="73"/>
    </row>
    <row r="10" spans="3:23 16384:16384" x14ac:dyDescent="0.2">
      <c r="C10" s="85" t="s">
        <v>48</v>
      </c>
      <c r="D10" s="72"/>
      <c r="E10" s="11"/>
      <c r="F10" s="11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2" spans="3:23 16384:16384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  <c r="O12" s="8" t="s">
        <v>49</v>
      </c>
      <c r="P12" s="8" t="s">
        <v>50</v>
      </c>
      <c r="Q12" s="1"/>
    </row>
    <row r="13" spans="3:23 16384:16384" ht="16.5" x14ac:dyDescent="0.35">
      <c r="E13" s="10"/>
      <c r="F13" s="10"/>
      <c r="G13" s="10" t="s">
        <v>14</v>
      </c>
      <c r="H13" s="10"/>
      <c r="I13" s="11"/>
      <c r="J13" s="10"/>
      <c r="K13" s="10" t="s">
        <v>15</v>
      </c>
      <c r="L13" s="10"/>
      <c r="M13" s="11"/>
      <c r="N13" s="10"/>
      <c r="O13" s="117" t="s">
        <v>16</v>
      </c>
      <c r="P13" s="117"/>
      <c r="XFD13" s="12" t="s">
        <v>51</v>
      </c>
    </row>
    <row r="14" spans="3:23 16384:16384" ht="16.5" x14ac:dyDescent="0.35">
      <c r="C14" s="13" t="s">
        <v>18</v>
      </c>
      <c r="D14" s="75" t="s">
        <v>52</v>
      </c>
      <c r="E14" s="75" t="s">
        <v>53</v>
      </c>
      <c r="G14" s="10" t="s">
        <v>19</v>
      </c>
      <c r="H14" s="10"/>
      <c r="I14" s="10" t="s">
        <v>20</v>
      </c>
      <c r="J14" s="10"/>
      <c r="K14" s="10" t="s">
        <v>21</v>
      </c>
      <c r="L14" s="10"/>
      <c r="M14" s="10" t="s">
        <v>22</v>
      </c>
      <c r="N14" s="10"/>
      <c r="O14" s="118" t="s">
        <v>23</v>
      </c>
      <c r="P14" s="118"/>
      <c r="S14" s="16"/>
      <c r="T14" s="17" t="s">
        <v>19</v>
      </c>
      <c r="U14" s="17"/>
      <c r="V14" s="17" t="s">
        <v>20</v>
      </c>
      <c r="W14" s="18"/>
      <c r="XFD14" s="12" t="s">
        <v>51</v>
      </c>
    </row>
    <row r="15" spans="3:23 16384:16384" ht="16.5" customHeight="1" x14ac:dyDescent="0.35">
      <c r="C15" s="10" t="s">
        <v>24</v>
      </c>
      <c r="D15" s="10" t="s">
        <v>54</v>
      </c>
      <c r="E15" s="10" t="s">
        <v>55</v>
      </c>
      <c r="F15" s="10" t="s">
        <v>25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26</v>
      </c>
      <c r="N15" s="10" t="s">
        <v>27</v>
      </c>
      <c r="O15" s="10" t="s">
        <v>21</v>
      </c>
      <c r="P15" s="10" t="s">
        <v>22</v>
      </c>
      <c r="S15" s="20"/>
      <c r="T15" s="10" t="s">
        <v>26</v>
      </c>
      <c r="U15" s="10" t="s">
        <v>27</v>
      </c>
      <c r="V15" s="10" t="s">
        <v>26</v>
      </c>
      <c r="W15" s="21" t="s">
        <v>27</v>
      </c>
    </row>
    <row r="16" spans="3:23 16384:16384" x14ac:dyDescent="0.2">
      <c r="C16" s="76">
        <v>1</v>
      </c>
      <c r="D16" s="123">
        <v>300</v>
      </c>
      <c r="E16" s="124">
        <v>0.4</v>
      </c>
      <c r="F16" s="123">
        <f t="shared" ref="F16:F45" si="0">+MROUND(D16*30.5*24*E16,1000)</f>
        <v>88000</v>
      </c>
      <c r="G16" s="125">
        <f t="shared" ref="G16:J45" si="1">+SUM(T$16,$D16*$T$27*T$17,$D16*T$18,$D16*T$19*$T$26,$F16*T$23*T$20,$F16*T$24*T$21,$F16*T$25*T$22,$F16*T$28)</f>
        <v>8678.3299639459074</v>
      </c>
      <c r="H16" s="125">
        <f t="shared" si="1"/>
        <v>7715.7759438317489</v>
      </c>
      <c r="I16" s="125">
        <f t="shared" si="1"/>
        <v>9455.0303661119142</v>
      </c>
      <c r="J16" s="125">
        <f t="shared" si="1"/>
        <v>8425.0264087638825</v>
      </c>
      <c r="K16" s="125">
        <f t="shared" ref="K16:L31" si="2">+I16-G16</f>
        <v>776.70040216600682</v>
      </c>
      <c r="L16" s="125">
        <f t="shared" si="2"/>
        <v>709.25046493213358</v>
      </c>
      <c r="M16" s="126">
        <f t="shared" ref="M16:N31" si="3">+I16/G16-1</f>
        <v>8.9498832769992154E-2</v>
      </c>
      <c r="N16" s="126">
        <f t="shared" si="3"/>
        <v>9.1922117761743971E-2</v>
      </c>
      <c r="O16" s="125">
        <f>(I16*4+J16*8-G16*4-H16*8)/12</f>
        <v>731.73377734342466</v>
      </c>
      <c r="P16" s="126">
        <f>+O16/((G16*4+H16*8)/12)</f>
        <v>9.1049858541042084E-2</v>
      </c>
      <c r="Q16" s="1"/>
      <c r="S16" s="86" t="s">
        <v>29</v>
      </c>
      <c r="T16" s="45">
        <f>[1]I09P!F17</f>
        <v>340</v>
      </c>
      <c r="U16" s="45">
        <f>T16</f>
        <v>340</v>
      </c>
      <c r="V16" s="45">
        <f>[1]I09P!H17</f>
        <v>360</v>
      </c>
      <c r="W16" s="46">
        <f>V16</f>
        <v>360</v>
      </c>
    </row>
    <row r="17" spans="3:23" x14ac:dyDescent="0.2">
      <c r="C17" s="76">
        <f>+IF(D17="","",MAX($C$16:C16)+1)</f>
        <v>2</v>
      </c>
      <c r="D17" s="127">
        <f>+D16</f>
        <v>300</v>
      </c>
      <c r="E17" s="124">
        <f>+E16+10%</f>
        <v>0.5</v>
      </c>
      <c r="F17" s="123">
        <f t="shared" si="0"/>
        <v>110000</v>
      </c>
      <c r="G17" s="77">
        <f t="shared" si="1"/>
        <v>9848.8307368954047</v>
      </c>
      <c r="H17" s="77">
        <f t="shared" si="1"/>
        <v>8796.0477184213687</v>
      </c>
      <c r="I17" s="77">
        <f t="shared" si="1"/>
        <v>10538.977098851856</v>
      </c>
      <c r="J17" s="77">
        <f t="shared" si="1"/>
        <v>9491.2913119178793</v>
      </c>
      <c r="K17" s="77">
        <f t="shared" si="2"/>
        <v>690.14636195645107</v>
      </c>
      <c r="L17" s="77">
        <f t="shared" si="2"/>
        <v>695.24359349651058</v>
      </c>
      <c r="M17" s="126">
        <f t="shared" si="3"/>
        <v>7.0073938764227517E-2</v>
      </c>
      <c r="N17" s="126">
        <f t="shared" si="3"/>
        <v>7.9040452684275175E-2</v>
      </c>
      <c r="O17" s="77">
        <f t="shared" ref="O17:O45" si="4">(I17*4+J17*8-G17*4-H17*8)/12</f>
        <v>693.5445163164901</v>
      </c>
      <c r="P17" s="126">
        <f t="shared" ref="P17:P45" si="5">+O17/((G17*4+H17*8)/12)</f>
        <v>7.5822278584048095E-2</v>
      </c>
      <c r="Q17" s="1"/>
      <c r="S17" s="86" t="s">
        <v>56</v>
      </c>
      <c r="T17" s="45">
        <f>[1]I09P!F20</f>
        <v>1.83</v>
      </c>
      <c r="U17" s="45">
        <f>T17</f>
        <v>1.83</v>
      </c>
      <c r="V17" s="45">
        <f>[1]I09P!H20</f>
        <v>2.2200000000000002</v>
      </c>
      <c r="W17" s="46">
        <f>V17</f>
        <v>2.2200000000000002</v>
      </c>
    </row>
    <row r="18" spans="3:23" x14ac:dyDescent="0.2">
      <c r="C18" s="76">
        <f>+IF(D18="","",MAX($C$16:C17)+1)</f>
        <v>3</v>
      </c>
      <c r="D18" s="127">
        <f>+D17</f>
        <v>300</v>
      </c>
      <c r="E18" s="124">
        <f>+E17+10%</f>
        <v>0.6</v>
      </c>
      <c r="F18" s="123">
        <f t="shared" si="0"/>
        <v>132000</v>
      </c>
      <c r="G18" s="77">
        <f t="shared" si="1"/>
        <v>11019.331509844902</v>
      </c>
      <c r="H18" s="77">
        <f t="shared" si="1"/>
        <v>9876.3194930109876</v>
      </c>
      <c r="I18" s="77">
        <f t="shared" si="1"/>
        <v>11622.923831591796</v>
      </c>
      <c r="J18" s="77">
        <f t="shared" si="1"/>
        <v>10557.556215071872</v>
      </c>
      <c r="K18" s="77">
        <f t="shared" si="2"/>
        <v>603.5923217468935</v>
      </c>
      <c r="L18" s="77">
        <f t="shared" si="2"/>
        <v>681.23672206088486</v>
      </c>
      <c r="M18" s="126">
        <f t="shared" si="3"/>
        <v>5.4775765771964524E-2</v>
      </c>
      <c r="N18" s="126">
        <f t="shared" si="3"/>
        <v>6.8976780524664605E-2</v>
      </c>
      <c r="O18" s="77">
        <f t="shared" si="4"/>
        <v>655.35525528955498</v>
      </c>
      <c r="P18" s="126">
        <f t="shared" si="5"/>
        <v>6.3891448424881855E-2</v>
      </c>
      <c r="Q18" s="1"/>
      <c r="S18" s="86" t="s">
        <v>57</v>
      </c>
      <c r="T18" s="45">
        <f>[1]I09P!F22</f>
        <v>8.35</v>
      </c>
      <c r="U18" s="45">
        <f>[1]I09P!F23</f>
        <v>7.91</v>
      </c>
      <c r="V18" s="45">
        <f>[1]I09P!H22</f>
        <v>11.04</v>
      </c>
      <c r="W18" s="46">
        <f>[1]I09P!H23</f>
        <v>9.91</v>
      </c>
    </row>
    <row r="19" spans="3:23" x14ac:dyDescent="0.2">
      <c r="C19" s="76">
        <f>+IF(D19="","",MAX($C$16:C18)+1)</f>
        <v>4</v>
      </c>
      <c r="D19" s="127">
        <f>+D18</f>
        <v>300</v>
      </c>
      <c r="E19" s="124">
        <f>+E18+10%</f>
        <v>0.7</v>
      </c>
      <c r="F19" s="123">
        <f t="shared" si="0"/>
        <v>154000</v>
      </c>
      <c r="G19" s="77">
        <f t="shared" si="1"/>
        <v>12189.832282794401</v>
      </c>
      <c r="H19" s="77">
        <f t="shared" si="1"/>
        <v>10956.591267600606</v>
      </c>
      <c r="I19" s="77">
        <f t="shared" si="1"/>
        <v>12706.870564331737</v>
      </c>
      <c r="J19" s="77">
        <f t="shared" si="1"/>
        <v>11623.821118225869</v>
      </c>
      <c r="K19" s="77">
        <f t="shared" si="2"/>
        <v>517.03828153733593</v>
      </c>
      <c r="L19" s="77">
        <f t="shared" si="2"/>
        <v>667.22985062526277</v>
      </c>
      <c r="M19" s="126">
        <f t="shared" si="3"/>
        <v>4.2415536944435228E-2</v>
      </c>
      <c r="N19" s="126">
        <f t="shared" si="3"/>
        <v>6.0897576110035878E-2</v>
      </c>
      <c r="O19" s="77">
        <f t="shared" si="4"/>
        <v>617.16599426261985</v>
      </c>
      <c r="P19" s="126">
        <f t="shared" si="5"/>
        <v>5.4291328572242635E-2</v>
      </c>
      <c r="Q19" s="1"/>
      <c r="S19" s="86" t="s">
        <v>62</v>
      </c>
      <c r="T19" s="45">
        <f>[1]I09P!F25</f>
        <v>1.59</v>
      </c>
      <c r="U19" s="87"/>
      <c r="V19" s="45">
        <f>[1]I09P!H25</f>
        <v>2.1</v>
      </c>
      <c r="W19" s="88"/>
    </row>
    <row r="20" spans="3:23" x14ac:dyDescent="0.2">
      <c r="C20" s="76">
        <f>+IF(D20="","",MAX($C$16:C19)+1)</f>
        <v>5</v>
      </c>
      <c r="D20" s="127">
        <f>+D19</f>
        <v>300</v>
      </c>
      <c r="E20" s="124">
        <f>+E19+10%</f>
        <v>0.79999999999999993</v>
      </c>
      <c r="F20" s="123">
        <f t="shared" si="0"/>
        <v>176000</v>
      </c>
      <c r="G20" s="77">
        <f t="shared" si="1"/>
        <v>13360.333055743899</v>
      </c>
      <c r="H20" s="77">
        <f t="shared" si="1"/>
        <v>12036.863042190225</v>
      </c>
      <c r="I20" s="77">
        <f t="shared" si="1"/>
        <v>13790.817297071677</v>
      </c>
      <c r="J20" s="77">
        <f t="shared" si="1"/>
        <v>12690.086021379864</v>
      </c>
      <c r="K20" s="77">
        <f t="shared" si="2"/>
        <v>430.48424132777836</v>
      </c>
      <c r="L20" s="77">
        <f t="shared" si="2"/>
        <v>653.22297918963886</v>
      </c>
      <c r="M20" s="126">
        <f t="shared" si="3"/>
        <v>3.222107110142014E-2</v>
      </c>
      <c r="N20" s="126">
        <f t="shared" si="3"/>
        <v>5.4268539643596236E-2</v>
      </c>
      <c r="O20" s="77">
        <f t="shared" si="4"/>
        <v>578.97673323568472</v>
      </c>
      <c r="P20" s="126">
        <f t="shared" si="5"/>
        <v>4.6399729006286021E-2</v>
      </c>
      <c r="Q20" s="1"/>
      <c r="S20" s="86" t="s">
        <v>63</v>
      </c>
      <c r="T20" s="47">
        <f>[1]I09P!F27</f>
        <v>5.3936999999999999E-2</v>
      </c>
      <c r="U20" s="47">
        <f>[1]I09P!F32</f>
        <v>4.8994999999999997E-2</v>
      </c>
      <c r="V20" s="47">
        <f>[1]I09P!H27</f>
        <v>6.6710000000000005E-2</v>
      </c>
      <c r="W20" s="48">
        <f>[1]I09P!H32</f>
        <v>5.4064000000000001E-2</v>
      </c>
    </row>
    <row r="21" spans="3:23" x14ac:dyDescent="0.2">
      <c r="C21" s="67">
        <f>+IF(D21="","",MAX($C$16:C20)+1)</f>
        <v>6</v>
      </c>
      <c r="D21" s="129">
        <f>+D16+100</f>
        <v>400</v>
      </c>
      <c r="E21" s="130">
        <f t="shared" ref="E21:E45" si="6">+E16</f>
        <v>0.4</v>
      </c>
      <c r="F21" s="129">
        <f t="shared" si="0"/>
        <v>117000</v>
      </c>
      <c r="G21" s="131">
        <f t="shared" si="1"/>
        <v>11440.038425065006</v>
      </c>
      <c r="H21" s="131">
        <f t="shared" si="1"/>
        <v>10158.00017094855</v>
      </c>
      <c r="I21" s="131">
        <f t="shared" si="1"/>
        <v>12470.283719471343</v>
      </c>
      <c r="J21" s="131">
        <f t="shared" si="1"/>
        <v>11097.213016182846</v>
      </c>
      <c r="K21" s="131">
        <f t="shared" si="2"/>
        <v>1030.2452944063371</v>
      </c>
      <c r="L21" s="131">
        <f t="shared" si="2"/>
        <v>939.21284523429676</v>
      </c>
      <c r="M21" s="132">
        <f t="shared" si="3"/>
        <v>9.0056104370163759E-2</v>
      </c>
      <c r="N21" s="132">
        <f t="shared" si="3"/>
        <v>9.2460408488710843E-2</v>
      </c>
      <c r="O21" s="131">
        <f t="shared" si="4"/>
        <v>969.55699495831016</v>
      </c>
      <c r="P21" s="132">
        <f t="shared" si="5"/>
        <v>9.1594263573610835E-2</v>
      </c>
      <c r="Q21" s="1"/>
      <c r="S21" s="86" t="s">
        <v>64</v>
      </c>
      <c r="T21" s="47">
        <f>[1]I09P!F28</f>
        <v>5.3936999999999999E-2</v>
      </c>
      <c r="U21" s="47">
        <f>[1]I09P!F33</f>
        <v>4.6579000000000002E-2</v>
      </c>
      <c r="V21" s="47">
        <f>[1]I09P!H28</f>
        <v>5.5531999999999998E-2</v>
      </c>
      <c r="W21" s="48">
        <f>[1]I09P!H33</f>
        <v>4.9269E-2</v>
      </c>
    </row>
    <row r="22" spans="3:23" x14ac:dyDescent="0.2">
      <c r="C22" s="67">
        <f>+IF(D22="","",MAX($C$16:C21)+1)</f>
        <v>7</v>
      </c>
      <c r="D22" s="133">
        <f>+D21</f>
        <v>400</v>
      </c>
      <c r="E22" s="130">
        <f t="shared" si="6"/>
        <v>0.5</v>
      </c>
      <c r="F22" s="129">
        <f t="shared" si="0"/>
        <v>146000</v>
      </c>
      <c r="G22" s="19">
        <f t="shared" si="1"/>
        <v>12982.971262134797</v>
      </c>
      <c r="H22" s="19">
        <f t="shared" si="1"/>
        <v>11581.994782907592</v>
      </c>
      <c r="I22" s="19">
        <f t="shared" si="1"/>
        <v>13899.122594446719</v>
      </c>
      <c r="J22" s="19">
        <f t="shared" si="1"/>
        <v>12502.74402488584</v>
      </c>
      <c r="K22" s="19">
        <f t="shared" si="2"/>
        <v>916.15133231192158</v>
      </c>
      <c r="L22" s="19">
        <f t="shared" si="2"/>
        <v>920.74924197824839</v>
      </c>
      <c r="M22" s="132">
        <f t="shared" si="3"/>
        <v>7.0565613511284875E-2</v>
      </c>
      <c r="N22" s="132">
        <f t="shared" si="3"/>
        <v>7.9498329885026919E-2</v>
      </c>
      <c r="O22" s="19">
        <f t="shared" si="4"/>
        <v>919.21660542280495</v>
      </c>
      <c r="P22" s="132">
        <f t="shared" si="5"/>
        <v>7.6289949503475604E-2</v>
      </c>
      <c r="Q22" s="1"/>
      <c r="S22" s="86" t="s">
        <v>65</v>
      </c>
      <c r="T22" s="47">
        <f>[1]I09P!F29</f>
        <v>4.8346E-2</v>
      </c>
      <c r="U22" s="47">
        <f>[1]I09P!F34</f>
        <v>4.4649000000000001E-2</v>
      </c>
      <c r="V22" s="47">
        <f>[1]I09P!H29</f>
        <v>4.3957000000000003E-2</v>
      </c>
      <c r="W22" s="48">
        <f>[1]I09P!H34</f>
        <v>4.5853999999999999E-2</v>
      </c>
    </row>
    <row r="23" spans="3:23" x14ac:dyDescent="0.2">
      <c r="C23" s="67">
        <f>+IF(D23="","",MAX($C$16:C22)+1)</f>
        <v>8</v>
      </c>
      <c r="D23" s="133">
        <f>+D22</f>
        <v>400</v>
      </c>
      <c r="E23" s="130">
        <f t="shared" si="6"/>
        <v>0.6</v>
      </c>
      <c r="F23" s="129">
        <f t="shared" si="0"/>
        <v>176000</v>
      </c>
      <c r="G23" s="19">
        <f t="shared" si="1"/>
        <v>14579.108679793206</v>
      </c>
      <c r="H23" s="19">
        <f t="shared" si="1"/>
        <v>13055.092657347983</v>
      </c>
      <c r="I23" s="19">
        <f t="shared" si="1"/>
        <v>15377.231775455726</v>
      </c>
      <c r="J23" s="19">
        <f t="shared" si="1"/>
        <v>13956.741620095832</v>
      </c>
      <c r="K23" s="19">
        <f t="shared" si="2"/>
        <v>798.12309566252043</v>
      </c>
      <c r="L23" s="19">
        <f t="shared" si="2"/>
        <v>901.64896274784951</v>
      </c>
      <c r="M23" s="132">
        <f t="shared" si="3"/>
        <v>5.474429975055517E-2</v>
      </c>
      <c r="N23" s="132">
        <f t="shared" si="3"/>
        <v>6.9064922510554627E-2</v>
      </c>
      <c r="O23" s="19">
        <f t="shared" si="4"/>
        <v>867.14034038607372</v>
      </c>
      <c r="P23" s="132">
        <f t="shared" si="5"/>
        <v>6.3933795988461967E-2</v>
      </c>
      <c r="Q23" s="1"/>
      <c r="S23" s="89" t="s">
        <v>41</v>
      </c>
      <c r="T23" s="52">
        <f>[1]I09P!E27/[1]I09P!E30</f>
        <v>0.13622521000898724</v>
      </c>
      <c r="U23" s="52">
        <f>[1]I09P!E32/[1]I09P!E35</f>
        <v>0.22514182001397356</v>
      </c>
      <c r="V23" s="52">
        <f>T23</f>
        <v>0.13622521000898724</v>
      </c>
      <c r="W23" s="53">
        <v>0.22287426752895698</v>
      </c>
    </row>
    <row r="24" spans="3:23" x14ac:dyDescent="0.2">
      <c r="C24" s="67">
        <f>+IF(D24="","",MAX($C$16:C23)+1)</f>
        <v>9</v>
      </c>
      <c r="D24" s="133">
        <f>+D23</f>
        <v>400</v>
      </c>
      <c r="E24" s="130">
        <f t="shared" si="6"/>
        <v>0.7</v>
      </c>
      <c r="F24" s="129">
        <f t="shared" si="0"/>
        <v>205000</v>
      </c>
      <c r="G24" s="19">
        <f t="shared" si="1"/>
        <v>16122.041516862995</v>
      </c>
      <c r="H24" s="19">
        <f t="shared" si="1"/>
        <v>14479.087269307027</v>
      </c>
      <c r="I24" s="19">
        <f t="shared" si="1"/>
        <v>16806.070650431106</v>
      </c>
      <c r="J24" s="19">
        <f t="shared" si="1"/>
        <v>15362.272628798826</v>
      </c>
      <c r="K24" s="19">
        <f t="shared" si="2"/>
        <v>684.02913356811041</v>
      </c>
      <c r="L24" s="19">
        <f t="shared" si="2"/>
        <v>883.18535949179932</v>
      </c>
      <c r="M24" s="132">
        <f t="shared" si="3"/>
        <v>4.242819576246859E-2</v>
      </c>
      <c r="N24" s="132">
        <f t="shared" si="3"/>
        <v>6.0997308950819562E-2</v>
      </c>
      <c r="O24" s="19">
        <f t="shared" si="4"/>
        <v>816.79995085057089</v>
      </c>
      <c r="P24" s="132">
        <f t="shared" si="5"/>
        <v>5.4356435415841349E-2</v>
      </c>
      <c r="Q24" s="1"/>
      <c r="S24" s="89" t="s">
        <v>42</v>
      </c>
      <c r="T24" s="52">
        <f>[1]I09P!E28/[1]I09P!E30</f>
        <v>0.19125475855716348</v>
      </c>
      <c r="U24" s="52">
        <f>[1]I09P!E33/[1]I09P!E35</f>
        <v>0.2322052058059233</v>
      </c>
      <c r="V24" s="52">
        <f>T24</f>
        <v>0.19125475855716348</v>
      </c>
      <c r="W24" s="53">
        <v>0.22922072345155023</v>
      </c>
    </row>
    <row r="25" spans="3:23" x14ac:dyDescent="0.2">
      <c r="C25" s="67">
        <f>+IF(D25="","",MAX($C$16:C24)+1)</f>
        <v>10</v>
      </c>
      <c r="D25" s="133">
        <f>+D24</f>
        <v>400</v>
      </c>
      <c r="E25" s="130">
        <f t="shared" si="6"/>
        <v>0.79999999999999993</v>
      </c>
      <c r="F25" s="129">
        <f t="shared" si="0"/>
        <v>234000</v>
      </c>
      <c r="G25" s="19">
        <f t="shared" si="1"/>
        <v>17664.974353932786</v>
      </c>
      <c r="H25" s="19">
        <f t="shared" si="1"/>
        <v>15903.081881266067</v>
      </c>
      <c r="I25" s="19">
        <f t="shared" si="1"/>
        <v>18234.909525406481</v>
      </c>
      <c r="J25" s="19">
        <f t="shared" si="1"/>
        <v>16767.80363750182</v>
      </c>
      <c r="K25" s="19">
        <f t="shared" si="2"/>
        <v>569.93517147369494</v>
      </c>
      <c r="L25" s="19">
        <f t="shared" si="2"/>
        <v>864.72175623575276</v>
      </c>
      <c r="M25" s="132">
        <f t="shared" si="3"/>
        <v>3.2263571973248251E-2</v>
      </c>
      <c r="N25" s="132">
        <f t="shared" si="3"/>
        <v>5.4374476764431412E-2</v>
      </c>
      <c r="O25" s="19">
        <f t="shared" si="4"/>
        <v>766.45956131506807</v>
      </c>
      <c r="P25" s="132">
        <f t="shared" si="5"/>
        <v>4.6479195172991747E-2</v>
      </c>
      <c r="Q25" s="1"/>
      <c r="S25" s="89" t="s">
        <v>43</v>
      </c>
      <c r="T25" s="52">
        <f>[1]I09P!E29/[1]I09P!E30</f>
        <v>0.67252003143384931</v>
      </c>
      <c r="U25" s="52">
        <f>[1]I09P!E34/[1]I09P!E35</f>
        <v>0.54265297418010316</v>
      </c>
      <c r="V25" s="52">
        <f>T25</f>
        <v>0.67252003143384931</v>
      </c>
      <c r="W25" s="53">
        <v>0.54790500901949279</v>
      </c>
    </row>
    <row r="26" spans="3:23" x14ac:dyDescent="0.2">
      <c r="C26" s="76">
        <f>+IF(D26="","",MAX($C$16:C25)+1)</f>
        <v>11</v>
      </c>
      <c r="D26" s="123">
        <f>+D21+100</f>
        <v>500</v>
      </c>
      <c r="E26" s="124">
        <f t="shared" si="6"/>
        <v>0.4</v>
      </c>
      <c r="F26" s="123">
        <f t="shared" si="0"/>
        <v>146000</v>
      </c>
      <c r="G26" s="125">
        <f t="shared" si="1"/>
        <v>14201.746886184104</v>
      </c>
      <c r="H26" s="125">
        <f t="shared" si="1"/>
        <v>12600.224398065351</v>
      </c>
      <c r="I26" s="125">
        <f t="shared" si="1"/>
        <v>15485.537072830772</v>
      </c>
      <c r="J26" s="125">
        <f t="shared" si="1"/>
        <v>13769.399623601808</v>
      </c>
      <c r="K26" s="125">
        <f t="shared" si="2"/>
        <v>1283.7901866466673</v>
      </c>
      <c r="L26" s="125">
        <f t="shared" si="2"/>
        <v>1169.1752255364572</v>
      </c>
      <c r="M26" s="126">
        <f t="shared" si="3"/>
        <v>9.039663901456918E-2</v>
      </c>
      <c r="N26" s="126">
        <f t="shared" si="3"/>
        <v>9.2790032034347991E-2</v>
      </c>
      <c r="O26" s="125">
        <f t="shared" si="4"/>
        <v>1207.3802125731938</v>
      </c>
      <c r="P26" s="126">
        <f t="shared" si="5"/>
        <v>9.1927380568421854E-2</v>
      </c>
      <c r="Q26" s="1"/>
      <c r="S26" s="89" t="s">
        <v>66</v>
      </c>
      <c r="T26" s="52">
        <f>[1]I09P!E25/[1]I09P!E22</f>
        <v>0.98456609365754055</v>
      </c>
      <c r="U26" s="90"/>
      <c r="V26" s="52">
        <f>T26</f>
        <v>0.98456609365754055</v>
      </c>
      <c r="W26" s="91"/>
    </row>
    <row r="27" spans="3:23" x14ac:dyDescent="0.2">
      <c r="C27" s="76">
        <f>+IF(D27="","",MAX($C$16:C26)+1)</f>
        <v>12</v>
      </c>
      <c r="D27" s="127">
        <f>+D26</f>
        <v>500</v>
      </c>
      <c r="E27" s="124">
        <f t="shared" si="6"/>
        <v>0.5</v>
      </c>
      <c r="F27" s="123">
        <f t="shared" si="0"/>
        <v>183000</v>
      </c>
      <c r="G27" s="77">
        <f t="shared" si="1"/>
        <v>16170.316367962805</v>
      </c>
      <c r="H27" s="77">
        <f t="shared" si="1"/>
        <v>14417.045109875164</v>
      </c>
      <c r="I27" s="77">
        <f t="shared" si="1"/>
        <v>17308.538396075215</v>
      </c>
      <c r="J27" s="77">
        <f t="shared" si="1"/>
        <v>15562.663324360799</v>
      </c>
      <c r="K27" s="77">
        <f t="shared" si="2"/>
        <v>1138.22202811241</v>
      </c>
      <c r="L27" s="77">
        <f t="shared" si="2"/>
        <v>1145.6182144856357</v>
      </c>
      <c r="M27" s="126">
        <f t="shared" si="3"/>
        <v>7.0389595491619161E-2</v>
      </c>
      <c r="N27" s="126">
        <f t="shared" si="3"/>
        <v>7.9462761318609409E-2</v>
      </c>
      <c r="O27" s="77">
        <f t="shared" si="4"/>
        <v>1143.1528190278925</v>
      </c>
      <c r="P27" s="126">
        <f t="shared" si="5"/>
        <v>7.6202725846405667E-2</v>
      </c>
      <c r="Q27" s="1"/>
      <c r="S27" s="89" t="s">
        <v>59</v>
      </c>
      <c r="T27" s="92">
        <f>[1]I09P!E20/[1]I09P!E24</f>
        <v>1.2416918861079624</v>
      </c>
      <c r="U27" s="93"/>
      <c r="V27" s="93"/>
      <c r="W27" s="94"/>
    </row>
    <row r="28" spans="3:23" x14ac:dyDescent="0.2">
      <c r="C28" s="76">
        <f>+IF(D28="","",MAX($C$16:C27)+1)</f>
        <v>13</v>
      </c>
      <c r="D28" s="127">
        <f>+D27</f>
        <v>500</v>
      </c>
      <c r="E28" s="124">
        <f t="shared" si="6"/>
        <v>0.6</v>
      </c>
      <c r="F28" s="123">
        <f t="shared" si="0"/>
        <v>220000</v>
      </c>
      <c r="G28" s="77">
        <f t="shared" si="1"/>
        <v>18138.885849741506</v>
      </c>
      <c r="H28" s="77">
        <f t="shared" si="1"/>
        <v>16233.865821684978</v>
      </c>
      <c r="I28" s="77">
        <f t="shared" si="1"/>
        <v>19131.539719319662</v>
      </c>
      <c r="J28" s="77">
        <f t="shared" si="1"/>
        <v>17355.927025119792</v>
      </c>
      <c r="K28" s="77">
        <f t="shared" si="2"/>
        <v>992.65386957815645</v>
      </c>
      <c r="L28" s="77">
        <f t="shared" si="2"/>
        <v>1122.0612034348142</v>
      </c>
      <c r="M28" s="126">
        <f t="shared" si="3"/>
        <v>5.4725184214790223E-2</v>
      </c>
      <c r="N28" s="126">
        <f t="shared" si="3"/>
        <v>6.911854611585988E-2</v>
      </c>
      <c r="O28" s="77">
        <f t="shared" si="4"/>
        <v>1078.9254254825948</v>
      </c>
      <c r="P28" s="126">
        <f t="shared" si="5"/>
        <v>6.3959545940575305E-2</v>
      </c>
      <c r="Q28" s="1"/>
      <c r="S28" s="95" t="s">
        <v>33</v>
      </c>
      <c r="T28" s="55">
        <f>[1]I09P!G37/[1]I09P!E36</f>
        <v>3.0276400843601663E-3</v>
      </c>
      <c r="U28" s="55">
        <f>+T28</f>
        <v>3.0276400843601663E-3</v>
      </c>
      <c r="V28" s="56">
        <v>0</v>
      </c>
      <c r="W28" s="57">
        <v>0</v>
      </c>
    </row>
    <row r="29" spans="3:23" x14ac:dyDescent="0.2">
      <c r="C29" s="76">
        <f>+IF(D29="","",MAX($C$16:C28)+1)</f>
        <v>14</v>
      </c>
      <c r="D29" s="127">
        <f>+D28</f>
        <v>500</v>
      </c>
      <c r="E29" s="124">
        <f t="shared" si="6"/>
        <v>0.7</v>
      </c>
      <c r="F29" s="123">
        <f t="shared" si="0"/>
        <v>256000</v>
      </c>
      <c r="G29" s="77">
        <f t="shared" si="1"/>
        <v>20054.250750931591</v>
      </c>
      <c r="H29" s="77">
        <f t="shared" si="1"/>
        <v>18001.583271013445</v>
      </c>
      <c r="I29" s="77">
        <f t="shared" si="1"/>
        <v>20905.270736530474</v>
      </c>
      <c r="J29" s="77">
        <f t="shared" si="1"/>
        <v>19100.724139371785</v>
      </c>
      <c r="K29" s="77">
        <f t="shared" si="2"/>
        <v>851.01998559888307</v>
      </c>
      <c r="L29" s="77">
        <f t="shared" si="2"/>
        <v>1099.1408683583395</v>
      </c>
      <c r="M29" s="126">
        <f t="shared" si="3"/>
        <v>4.2435890334090454E-2</v>
      </c>
      <c r="N29" s="126">
        <f t="shared" si="3"/>
        <v>6.1058010943304097E-2</v>
      </c>
      <c r="O29" s="77">
        <f t="shared" si="4"/>
        <v>1016.4339074385207</v>
      </c>
      <c r="P29" s="126">
        <f t="shared" si="5"/>
        <v>5.4396043727447871E-2</v>
      </c>
      <c r="Q29" s="1"/>
    </row>
    <row r="30" spans="3:23" x14ac:dyDescent="0.2">
      <c r="C30" s="76">
        <f>+IF(D30="","",MAX($C$16:C29)+1)</f>
        <v>15</v>
      </c>
      <c r="D30" s="127">
        <f>+D29</f>
        <v>500</v>
      </c>
      <c r="E30" s="124">
        <f t="shared" si="6"/>
        <v>0.79999999999999993</v>
      </c>
      <c r="F30" s="123">
        <f t="shared" si="0"/>
        <v>293000</v>
      </c>
      <c r="G30" s="77">
        <f t="shared" si="1"/>
        <v>22022.820232710292</v>
      </c>
      <c r="H30" s="77">
        <f t="shared" si="1"/>
        <v>19818.40398282326</v>
      </c>
      <c r="I30" s="77">
        <f t="shared" si="1"/>
        <v>22728.272059774921</v>
      </c>
      <c r="J30" s="77">
        <f t="shared" si="1"/>
        <v>20893.987840130776</v>
      </c>
      <c r="K30" s="77">
        <f t="shared" si="2"/>
        <v>705.45182706462947</v>
      </c>
      <c r="L30" s="77">
        <f t="shared" si="2"/>
        <v>1075.5838573075162</v>
      </c>
      <c r="M30" s="126">
        <f t="shared" si="3"/>
        <v>3.2032765086863257E-2</v>
      </c>
      <c r="N30" s="126">
        <f t="shared" si="3"/>
        <v>5.4271971559351151E-2</v>
      </c>
      <c r="O30" s="77">
        <f t="shared" si="4"/>
        <v>952.20651389322063</v>
      </c>
      <c r="P30" s="126">
        <f t="shared" si="5"/>
        <v>4.6328847986076394E-2</v>
      </c>
      <c r="Q30" s="1"/>
      <c r="S30" s="58">
        <f>+F28</f>
        <v>220000</v>
      </c>
      <c r="T30" s="59" t="s">
        <v>34</v>
      </c>
      <c r="U30" s="59" t="s">
        <v>20</v>
      </c>
      <c r="V30" s="59" t="s">
        <v>15</v>
      </c>
      <c r="W30" s="82" t="s">
        <v>22</v>
      </c>
    </row>
    <row r="31" spans="3:23" x14ac:dyDescent="0.2">
      <c r="C31" s="67">
        <f>+IF(D31="","",MAX($C$16:C30)+1)</f>
        <v>16</v>
      </c>
      <c r="D31" s="129">
        <f>+D26+100</f>
        <v>600</v>
      </c>
      <c r="E31" s="130">
        <f t="shared" si="6"/>
        <v>0.4</v>
      </c>
      <c r="F31" s="129">
        <f t="shared" si="0"/>
        <v>176000</v>
      </c>
      <c r="G31" s="131">
        <f t="shared" si="1"/>
        <v>17016.659927891815</v>
      </c>
      <c r="H31" s="131">
        <f t="shared" si="1"/>
        <v>15091.551887663498</v>
      </c>
      <c r="I31" s="131">
        <f t="shared" si="1"/>
        <v>18550.060732223828</v>
      </c>
      <c r="J31" s="131">
        <f t="shared" si="1"/>
        <v>16490.052817527765</v>
      </c>
      <c r="K31" s="131">
        <f t="shared" si="2"/>
        <v>1533.4008043320136</v>
      </c>
      <c r="L31" s="131">
        <f t="shared" si="2"/>
        <v>1398.5009298642672</v>
      </c>
      <c r="M31" s="132">
        <f t="shared" si="3"/>
        <v>9.0111738192442337E-2</v>
      </c>
      <c r="N31" s="132">
        <f t="shared" si="3"/>
        <v>9.2667801182691134E-2</v>
      </c>
      <c r="O31" s="131">
        <f t="shared" si="4"/>
        <v>1443.4675546868493</v>
      </c>
      <c r="P31" s="132">
        <f t="shared" si="5"/>
        <v>9.1746278462093961E-2</v>
      </c>
      <c r="Q31" s="1"/>
      <c r="S31" s="83">
        <f>+D26</f>
        <v>500</v>
      </c>
      <c r="W31" s="65"/>
    </row>
    <row r="32" spans="3:23" x14ac:dyDescent="0.2">
      <c r="C32" s="67">
        <f>+IF(D32="","",MAX($C$16:C31)+1)</f>
        <v>17</v>
      </c>
      <c r="D32" s="133">
        <f>+D31</f>
        <v>600</v>
      </c>
      <c r="E32" s="130">
        <f t="shared" si="6"/>
        <v>0.5</v>
      </c>
      <c r="F32" s="129">
        <f t="shared" si="0"/>
        <v>220000</v>
      </c>
      <c r="G32" s="19">
        <f t="shared" si="1"/>
        <v>19357.661473790809</v>
      </c>
      <c r="H32" s="19">
        <f t="shared" si="1"/>
        <v>17252.095436842737</v>
      </c>
      <c r="I32" s="19">
        <f t="shared" si="1"/>
        <v>20717.954197703712</v>
      </c>
      <c r="J32" s="19">
        <f t="shared" si="1"/>
        <v>18622.582623835759</v>
      </c>
      <c r="K32" s="19">
        <f t="shared" ref="K32:L45" si="7">+I32-G32</f>
        <v>1360.2927239129021</v>
      </c>
      <c r="L32" s="19">
        <f t="shared" si="7"/>
        <v>1370.4871869930212</v>
      </c>
      <c r="M32" s="132">
        <f t="shared" ref="M32:N45" si="8">+I32/G32-1</f>
        <v>7.0271542136154386E-2</v>
      </c>
      <c r="N32" s="132">
        <f t="shared" si="8"/>
        <v>7.9438882772829844E-2</v>
      </c>
      <c r="O32" s="19">
        <f t="shared" si="4"/>
        <v>1367.0890326329802</v>
      </c>
      <c r="P32" s="132">
        <f t="shared" si="5"/>
        <v>7.6144189610127783E-2</v>
      </c>
      <c r="Q32" s="1"/>
      <c r="S32" s="61" t="s">
        <v>35</v>
      </c>
      <c r="T32" s="62" cm="1">
        <f t="array" ref="T32">+SUM(INDEX(G$16:G$45,MATCH($S$30&amp;$S$31,$F$16:$F$45&amp;$D$16:$D$45,0))*3,INDEX(H$16:H$45,MATCH($S$30&amp;$S$31,$F$16:$F$45&amp;$D$16:$D$45,0))*9)/12</f>
        <v>16710.120828699113</v>
      </c>
      <c r="U32" s="62" cm="1">
        <f t="array" ref="U32">+SUM(INDEX(I$16:I$45,MATCH($S$30&amp;$S$31,$F$16:$F$45&amp;$D$16:$D$45,0))*4,INDEX(J$16:J$45,MATCH($S$30&amp;$S$31,$F$16:$F$45&amp;$D$16:$D$45,0))*8)/12</f>
        <v>17947.797923186416</v>
      </c>
      <c r="V32" s="62">
        <f>+U32-T32</f>
        <v>1237.6770944873024</v>
      </c>
      <c r="W32" s="84">
        <f>+U32/T32-1</f>
        <v>7.4067513166130361E-2</v>
      </c>
    </row>
    <row r="33" spans="3:20" x14ac:dyDescent="0.2">
      <c r="C33" s="67">
        <f>+IF(D33="","",MAX($C$16:C32)+1)</f>
        <v>18</v>
      </c>
      <c r="D33" s="133">
        <f>+D32</f>
        <v>600</v>
      </c>
      <c r="E33" s="130">
        <f t="shared" si="6"/>
        <v>0.6</v>
      </c>
      <c r="F33" s="129">
        <f t="shared" si="0"/>
        <v>264000</v>
      </c>
      <c r="G33" s="19">
        <f t="shared" si="1"/>
        <v>21698.663019689804</v>
      </c>
      <c r="H33" s="19">
        <f t="shared" si="1"/>
        <v>19412.638986021975</v>
      </c>
      <c r="I33" s="19">
        <f t="shared" si="1"/>
        <v>22885.847663183591</v>
      </c>
      <c r="J33" s="19">
        <f t="shared" si="1"/>
        <v>20755.112430143748</v>
      </c>
      <c r="K33" s="19">
        <f t="shared" si="7"/>
        <v>1187.184643493787</v>
      </c>
      <c r="L33" s="19">
        <f t="shared" si="7"/>
        <v>1342.4734441217734</v>
      </c>
      <c r="M33" s="132">
        <f t="shared" si="8"/>
        <v>5.4712340682765204E-2</v>
      </c>
      <c r="N33" s="132">
        <f t="shared" si="8"/>
        <v>6.9154608247153693E-2</v>
      </c>
      <c r="O33" s="19">
        <f t="shared" si="4"/>
        <v>1290.71051057911</v>
      </c>
      <c r="P33" s="132">
        <f t="shared" si="5"/>
        <v>6.3976857228549913E-2</v>
      </c>
      <c r="Q33" s="1"/>
    </row>
    <row r="34" spans="3:20" x14ac:dyDescent="0.2">
      <c r="C34" s="67">
        <f>+IF(D34="","",MAX($C$16:C33)+1)</f>
        <v>19</v>
      </c>
      <c r="D34" s="133">
        <f>+D33</f>
        <v>600</v>
      </c>
      <c r="E34" s="130">
        <f t="shared" si="6"/>
        <v>0.7</v>
      </c>
      <c r="F34" s="129">
        <f t="shared" si="0"/>
        <v>307000</v>
      </c>
      <c r="G34" s="19">
        <f t="shared" si="1"/>
        <v>23986.459985000183</v>
      </c>
      <c r="H34" s="19">
        <f t="shared" si="1"/>
        <v>21524.079272719864</v>
      </c>
      <c r="I34" s="19">
        <f t="shared" si="1"/>
        <v>25004.470822629839</v>
      </c>
      <c r="J34" s="19">
        <f t="shared" si="1"/>
        <v>22839.175649944737</v>
      </c>
      <c r="K34" s="19">
        <f t="shared" si="7"/>
        <v>1018.0108376296557</v>
      </c>
      <c r="L34" s="19">
        <f t="shared" si="7"/>
        <v>1315.0963772248724</v>
      </c>
      <c r="M34" s="132">
        <f t="shared" si="8"/>
        <v>4.2441062093625526E-2</v>
      </c>
      <c r="N34" s="132">
        <f t="shared" si="8"/>
        <v>6.1098844719999601E-2</v>
      </c>
      <c r="O34" s="19">
        <f t="shared" si="4"/>
        <v>1216.0678640264669</v>
      </c>
      <c r="P34" s="132">
        <f t="shared" si="5"/>
        <v>5.4422679983220597E-2</v>
      </c>
      <c r="Q34" s="1"/>
    </row>
    <row r="35" spans="3:20" x14ac:dyDescent="0.2">
      <c r="C35" s="67">
        <f>+IF(D35="","",MAX($C$16:C34)+1)</f>
        <v>20</v>
      </c>
      <c r="D35" s="133">
        <f>+D34</f>
        <v>600</v>
      </c>
      <c r="E35" s="130">
        <f t="shared" si="6"/>
        <v>0.79999999999999993</v>
      </c>
      <c r="F35" s="129">
        <f t="shared" si="0"/>
        <v>351000</v>
      </c>
      <c r="G35" s="19">
        <f t="shared" si="1"/>
        <v>26327.461530899182</v>
      </c>
      <c r="H35" s="19">
        <f t="shared" si="1"/>
        <v>23684.622821899102</v>
      </c>
      <c r="I35" s="19">
        <f t="shared" si="1"/>
        <v>27172.364288109718</v>
      </c>
      <c r="J35" s="19">
        <f t="shared" si="1"/>
        <v>24971.705456252726</v>
      </c>
      <c r="K35" s="19">
        <f t="shared" si="7"/>
        <v>844.90275721053695</v>
      </c>
      <c r="L35" s="19">
        <f t="shared" si="7"/>
        <v>1287.0826343536246</v>
      </c>
      <c r="M35" s="132">
        <f t="shared" si="8"/>
        <v>3.209207071554987E-2</v>
      </c>
      <c r="N35" s="132">
        <f t="shared" si="8"/>
        <v>5.4342543009111122E-2</v>
      </c>
      <c r="O35" s="19">
        <f t="shared" si="4"/>
        <v>1139.6893419725966</v>
      </c>
      <c r="P35" s="132">
        <f t="shared" si="5"/>
        <v>4.6393769233310789E-2</v>
      </c>
      <c r="Q35" s="1"/>
    </row>
    <row r="36" spans="3:20" x14ac:dyDescent="0.2">
      <c r="C36" s="76">
        <f>+IF(D36="","",MAX($C$16:C35)+1)</f>
        <v>21</v>
      </c>
      <c r="D36" s="123">
        <f>+D31+100</f>
        <v>700</v>
      </c>
      <c r="E36" s="124">
        <f t="shared" si="6"/>
        <v>0.4</v>
      </c>
      <c r="F36" s="123">
        <f t="shared" si="0"/>
        <v>205000</v>
      </c>
      <c r="G36" s="125">
        <f t="shared" si="1"/>
        <v>19778.368389010913</v>
      </c>
      <c r="H36" s="125">
        <f t="shared" si="1"/>
        <v>17533.776114780299</v>
      </c>
      <c r="I36" s="125">
        <f t="shared" si="1"/>
        <v>21565.314085583257</v>
      </c>
      <c r="J36" s="125">
        <f t="shared" si="1"/>
        <v>19162.239424946729</v>
      </c>
      <c r="K36" s="125">
        <f t="shared" si="7"/>
        <v>1786.9456965723439</v>
      </c>
      <c r="L36" s="125">
        <f t="shared" si="7"/>
        <v>1628.4633101664294</v>
      </c>
      <c r="M36" s="126">
        <f t="shared" si="8"/>
        <v>9.0348488885725775E-2</v>
      </c>
      <c r="N36" s="126">
        <f t="shared" si="8"/>
        <v>9.2875790103975175E-2</v>
      </c>
      <c r="O36" s="125">
        <f t="shared" si="4"/>
        <v>1681.2907723017343</v>
      </c>
      <c r="P36" s="126">
        <f t="shared" si="5"/>
        <v>9.1964402457259231E-2</v>
      </c>
      <c r="Q36" s="1"/>
    </row>
    <row r="37" spans="3:20" x14ac:dyDescent="0.2">
      <c r="C37" s="76">
        <f>+IF(D37="","",MAX($C$16:C36)+1)</f>
        <v>22</v>
      </c>
      <c r="D37" s="127">
        <f>+D36</f>
        <v>700</v>
      </c>
      <c r="E37" s="124">
        <f t="shared" si="6"/>
        <v>0.5</v>
      </c>
      <c r="F37" s="123">
        <f t="shared" si="0"/>
        <v>256000</v>
      </c>
      <c r="G37" s="77">
        <f t="shared" si="1"/>
        <v>22491.801999030205</v>
      </c>
      <c r="H37" s="77">
        <f t="shared" si="1"/>
        <v>20038.04250132896</v>
      </c>
      <c r="I37" s="77">
        <f t="shared" si="1"/>
        <v>24078.099693298573</v>
      </c>
      <c r="J37" s="77">
        <f t="shared" si="1"/>
        <v>21634.035336803718</v>
      </c>
      <c r="K37" s="77">
        <f t="shared" si="7"/>
        <v>1586.2976942683672</v>
      </c>
      <c r="L37" s="77">
        <f t="shared" si="7"/>
        <v>1595.9928354747572</v>
      </c>
      <c r="M37" s="126">
        <f t="shared" si="8"/>
        <v>7.0527816950227695E-2</v>
      </c>
      <c r="N37" s="126">
        <f t="shared" si="8"/>
        <v>7.9648141048154208E-2</v>
      </c>
      <c r="O37" s="77">
        <f t="shared" si="4"/>
        <v>1592.7611217392939</v>
      </c>
      <c r="P37" s="126">
        <f t="shared" si="5"/>
        <v>7.6369581812615162E-2</v>
      </c>
      <c r="Q37" s="1"/>
    </row>
    <row r="38" spans="3:20" x14ac:dyDescent="0.2">
      <c r="C38" s="76">
        <f>+IF(D38="","",MAX($C$16:C37)+1)</f>
        <v>23</v>
      </c>
      <c r="D38" s="127">
        <f>+D37</f>
        <v>700</v>
      </c>
      <c r="E38" s="124">
        <f t="shared" si="6"/>
        <v>0.6</v>
      </c>
      <c r="F38" s="123">
        <f t="shared" si="0"/>
        <v>307000</v>
      </c>
      <c r="G38" s="77">
        <f t="shared" si="1"/>
        <v>25205.23560904949</v>
      </c>
      <c r="H38" s="77">
        <f t="shared" si="1"/>
        <v>22542.308887877622</v>
      </c>
      <c r="I38" s="77">
        <f t="shared" si="1"/>
        <v>26590.885301013888</v>
      </c>
      <c r="J38" s="77">
        <f t="shared" si="1"/>
        <v>24105.831248660706</v>
      </c>
      <c r="K38" s="77">
        <f t="shared" si="7"/>
        <v>1385.6496919643978</v>
      </c>
      <c r="L38" s="77">
        <f t="shared" si="7"/>
        <v>1563.5223607830849</v>
      </c>
      <c r="M38" s="126">
        <f t="shared" si="8"/>
        <v>5.497467722408067E-2</v>
      </c>
      <c r="N38" s="126">
        <f t="shared" si="8"/>
        <v>6.935945951942335E-2</v>
      </c>
      <c r="O38" s="77">
        <f t="shared" si="4"/>
        <v>1504.2314711768583</v>
      </c>
      <c r="P38" s="126">
        <f t="shared" si="5"/>
        <v>6.4201221032936864E-2</v>
      </c>
      <c r="Q38" s="1"/>
    </row>
    <row r="39" spans="3:20" x14ac:dyDescent="0.2">
      <c r="C39" s="76">
        <f>+IF(D39="","",MAX($C$16:C38)+1)</f>
        <v>24</v>
      </c>
      <c r="D39" s="127">
        <f>+D38</f>
        <v>700</v>
      </c>
      <c r="E39" s="124">
        <f t="shared" si="6"/>
        <v>0.7</v>
      </c>
      <c r="F39" s="123">
        <f t="shared" si="0"/>
        <v>359000</v>
      </c>
      <c r="G39" s="77">
        <f t="shared" si="1"/>
        <v>27971.873799657395</v>
      </c>
      <c r="H39" s="77">
        <f t="shared" si="1"/>
        <v>25095.678536907631</v>
      </c>
      <c r="I39" s="77">
        <f t="shared" si="1"/>
        <v>29152.941214762839</v>
      </c>
      <c r="J39" s="77">
        <f t="shared" si="1"/>
        <v>26626.093747024694</v>
      </c>
      <c r="K39" s="77">
        <f t="shared" si="7"/>
        <v>1181.0674151054445</v>
      </c>
      <c r="L39" s="77">
        <f t="shared" si="7"/>
        <v>1530.4152101170621</v>
      </c>
      <c r="M39" s="126">
        <f t="shared" si="8"/>
        <v>4.2223392811099769E-2</v>
      </c>
      <c r="N39" s="126">
        <f t="shared" si="8"/>
        <v>6.0983217005522228E-2</v>
      </c>
      <c r="O39" s="77">
        <f t="shared" si="4"/>
        <v>1413.9659451131931</v>
      </c>
      <c r="P39" s="126">
        <f t="shared" si="5"/>
        <v>5.4269735116325796E-2</v>
      </c>
      <c r="Q39" s="1"/>
    </row>
    <row r="40" spans="3:20" x14ac:dyDescent="0.2">
      <c r="C40" s="76">
        <f>+IF(D40="","",MAX($C$16:C39)+1)</f>
        <v>25</v>
      </c>
      <c r="D40" s="127">
        <f>+D39</f>
        <v>700</v>
      </c>
      <c r="E40" s="124">
        <f t="shared" si="6"/>
        <v>0.79999999999999993</v>
      </c>
      <c r="F40" s="123">
        <f t="shared" si="0"/>
        <v>410000</v>
      </c>
      <c r="G40" s="77">
        <f t="shared" si="1"/>
        <v>30685.307409676687</v>
      </c>
      <c r="H40" s="77">
        <f t="shared" si="1"/>
        <v>27599.9449234563</v>
      </c>
      <c r="I40" s="77">
        <f t="shared" si="1"/>
        <v>31665.726822478158</v>
      </c>
      <c r="J40" s="77">
        <f t="shared" si="1"/>
        <v>29097.889658881682</v>
      </c>
      <c r="K40" s="77">
        <f t="shared" si="7"/>
        <v>980.41941280147148</v>
      </c>
      <c r="L40" s="77">
        <f t="shared" si="7"/>
        <v>1497.9447354253825</v>
      </c>
      <c r="M40" s="126">
        <f t="shared" si="8"/>
        <v>3.1950776953673099E-2</v>
      </c>
      <c r="N40" s="126">
        <f t="shared" si="8"/>
        <v>5.4273468283349002E-2</v>
      </c>
      <c r="O40" s="77">
        <f t="shared" si="4"/>
        <v>1325.436294550743</v>
      </c>
      <c r="P40" s="126">
        <f t="shared" si="5"/>
        <v>4.6297953671488583E-2</v>
      </c>
      <c r="Q40" s="1"/>
    </row>
    <row r="41" spans="3:20" x14ac:dyDescent="0.2">
      <c r="C41" s="67">
        <f>+IF(D41="","",MAX($C$16:C40)+1)</f>
        <v>26</v>
      </c>
      <c r="D41" s="129">
        <f>+D36+100</f>
        <v>800</v>
      </c>
      <c r="E41" s="130">
        <f t="shared" si="6"/>
        <v>0.4</v>
      </c>
      <c r="F41" s="129">
        <f t="shared" si="0"/>
        <v>234000</v>
      </c>
      <c r="G41" s="131">
        <f t="shared" si="1"/>
        <v>22540.076850130012</v>
      </c>
      <c r="H41" s="131">
        <f t="shared" si="1"/>
        <v>19976.000341897099</v>
      </c>
      <c r="I41" s="131">
        <f t="shared" si="1"/>
        <v>24580.567438942686</v>
      </c>
      <c r="J41" s="131">
        <f t="shared" si="1"/>
        <v>21834.426032365693</v>
      </c>
      <c r="K41" s="131">
        <f t="shared" si="7"/>
        <v>2040.4905888126741</v>
      </c>
      <c r="L41" s="131">
        <f t="shared" si="7"/>
        <v>1858.4256904685935</v>
      </c>
      <c r="M41" s="132">
        <f t="shared" si="8"/>
        <v>9.0527224125276362E-2</v>
      </c>
      <c r="N41" s="132">
        <f t="shared" si="8"/>
        <v>9.3032922439973298E-2</v>
      </c>
      <c r="O41" s="131">
        <f t="shared" si="4"/>
        <v>1919.1139899166203</v>
      </c>
      <c r="P41" s="132">
        <f t="shared" si="5"/>
        <v>9.2129149757014445E-2</v>
      </c>
      <c r="Q41" s="1"/>
    </row>
    <row r="42" spans="3:20" x14ac:dyDescent="0.2">
      <c r="C42" s="67">
        <f>+IF(D42="","",MAX($C$16:C41)+1)</f>
        <v>27</v>
      </c>
      <c r="D42" s="133">
        <f>+D41</f>
        <v>800</v>
      </c>
      <c r="E42" s="130">
        <f t="shared" si="6"/>
        <v>0.5</v>
      </c>
      <c r="F42" s="129">
        <f t="shared" si="0"/>
        <v>293000</v>
      </c>
      <c r="G42" s="19">
        <f t="shared" si="1"/>
        <v>25679.14710485821</v>
      </c>
      <c r="H42" s="19">
        <f t="shared" si="1"/>
        <v>22873.092828296532</v>
      </c>
      <c r="I42" s="19">
        <f t="shared" si="1"/>
        <v>27487.515494927073</v>
      </c>
      <c r="J42" s="19">
        <f t="shared" si="1"/>
        <v>24693.954636278679</v>
      </c>
      <c r="K42" s="19">
        <f t="shared" si="7"/>
        <v>1808.3683900688629</v>
      </c>
      <c r="L42" s="19">
        <f t="shared" si="7"/>
        <v>1820.8618079821463</v>
      </c>
      <c r="M42" s="132">
        <f t="shared" si="8"/>
        <v>7.0421668705918261E-2</v>
      </c>
      <c r="N42" s="132">
        <f t="shared" si="8"/>
        <v>7.9607153333000058E-2</v>
      </c>
      <c r="O42" s="19">
        <f t="shared" si="4"/>
        <v>1816.6973353443827</v>
      </c>
      <c r="P42" s="132">
        <f t="shared" si="5"/>
        <v>7.6304747843955412E-2</v>
      </c>
      <c r="Q42" s="1"/>
    </row>
    <row r="43" spans="3:20" x14ac:dyDescent="0.2">
      <c r="C43" s="67">
        <f>+IF(D43="","",MAX($C$16:C42)+1)</f>
        <v>28</v>
      </c>
      <c r="D43" s="133">
        <f>+D42</f>
        <v>800</v>
      </c>
      <c r="E43" s="130">
        <f t="shared" si="6"/>
        <v>0.6</v>
      </c>
      <c r="F43" s="129">
        <f t="shared" si="0"/>
        <v>351000</v>
      </c>
      <c r="G43" s="19">
        <f t="shared" si="1"/>
        <v>28765.012778997792</v>
      </c>
      <c r="H43" s="19">
        <f t="shared" si="1"/>
        <v>25721.082052214617</v>
      </c>
      <c r="I43" s="19">
        <f t="shared" si="1"/>
        <v>30345.193244877824</v>
      </c>
      <c r="J43" s="19">
        <f t="shared" si="1"/>
        <v>27505.016653684666</v>
      </c>
      <c r="K43" s="19">
        <f t="shared" si="7"/>
        <v>1580.180465880032</v>
      </c>
      <c r="L43" s="19">
        <f t="shared" si="7"/>
        <v>1783.9346014700495</v>
      </c>
      <c r="M43" s="132">
        <f t="shared" si="8"/>
        <v>5.4934113119315953E-2</v>
      </c>
      <c r="N43" s="132">
        <f t="shared" si="8"/>
        <v>6.9356903331228681E-2</v>
      </c>
      <c r="O43" s="19">
        <f t="shared" si="4"/>
        <v>1716.0165562733771</v>
      </c>
      <c r="P43" s="132">
        <f t="shared" si="5"/>
        <v>6.4184401806116412E-2</v>
      </c>
      <c r="Q43" s="1"/>
    </row>
    <row r="44" spans="3:20" x14ac:dyDescent="0.2">
      <c r="C44" s="67">
        <f>+IF(D44="","",MAX($C$16:C43)+1)</f>
        <v>29</v>
      </c>
      <c r="D44" s="133">
        <f>+D43</f>
        <v>800</v>
      </c>
      <c r="E44" s="130">
        <f t="shared" si="6"/>
        <v>0.7</v>
      </c>
      <c r="F44" s="129">
        <f t="shared" si="0"/>
        <v>410000</v>
      </c>
      <c r="G44" s="19">
        <f t="shared" si="1"/>
        <v>31904.08303372599</v>
      </c>
      <c r="H44" s="19">
        <f t="shared" si="1"/>
        <v>28618.174538614054</v>
      </c>
      <c r="I44" s="19">
        <f t="shared" si="1"/>
        <v>33252.141300862211</v>
      </c>
      <c r="J44" s="19">
        <f t="shared" si="1"/>
        <v>30364.545257597652</v>
      </c>
      <c r="K44" s="19">
        <f t="shared" si="7"/>
        <v>1348.0582671362208</v>
      </c>
      <c r="L44" s="19">
        <f t="shared" si="7"/>
        <v>1746.3707189835986</v>
      </c>
      <c r="M44" s="132">
        <f t="shared" si="8"/>
        <v>4.225347162340265E-2</v>
      </c>
      <c r="N44" s="132">
        <f t="shared" si="8"/>
        <v>6.1023134673640733E-2</v>
      </c>
      <c r="O44" s="19">
        <f t="shared" si="4"/>
        <v>1613.5999017011418</v>
      </c>
      <c r="P44" s="132">
        <f t="shared" si="5"/>
        <v>5.4305320161316104E-2</v>
      </c>
      <c r="Q44" s="1"/>
    </row>
    <row r="45" spans="3:20" x14ac:dyDescent="0.2">
      <c r="C45" s="67">
        <f>+IF(D45="","",MAX($C$16:C44)+1)</f>
        <v>30</v>
      </c>
      <c r="D45" s="133">
        <f>+D44</f>
        <v>800</v>
      </c>
      <c r="E45" s="130">
        <f t="shared" si="6"/>
        <v>0.79999999999999993</v>
      </c>
      <c r="F45" s="129">
        <f t="shared" si="0"/>
        <v>468000</v>
      </c>
      <c r="G45" s="19">
        <f t="shared" si="1"/>
        <v>34989.948707865573</v>
      </c>
      <c r="H45" s="19">
        <f t="shared" si="1"/>
        <v>31466.163762532135</v>
      </c>
      <c r="I45" s="19">
        <f t="shared" si="1"/>
        <v>36109.819050812963</v>
      </c>
      <c r="J45" s="19">
        <f t="shared" si="1"/>
        <v>33175.60727500364</v>
      </c>
      <c r="K45" s="19">
        <f t="shared" si="7"/>
        <v>1119.8703429473899</v>
      </c>
      <c r="L45" s="19">
        <f t="shared" si="7"/>
        <v>1709.4435124715055</v>
      </c>
      <c r="M45" s="132">
        <f t="shared" si="8"/>
        <v>3.2005486841301112E-2</v>
      </c>
      <c r="N45" s="132">
        <f t="shared" si="8"/>
        <v>5.4326403605227558E-2</v>
      </c>
      <c r="O45" s="19">
        <f t="shared" si="4"/>
        <v>1512.9191226301361</v>
      </c>
      <c r="P45" s="132">
        <f t="shared" si="5"/>
        <v>4.6350611347043935E-2</v>
      </c>
      <c r="Q45" s="1"/>
    </row>
    <row r="46" spans="3:20" ht="6" customHeight="1" thickBot="1" x14ac:dyDescent="0.25"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1"/>
    </row>
    <row r="47" spans="3:20" ht="12.75" thickTop="1" x14ac:dyDescent="0.2">
      <c r="C47" s="64" t="s">
        <v>60</v>
      </c>
      <c r="Q47" s="1"/>
      <c r="T47" s="71"/>
    </row>
    <row r="48" spans="3:20" ht="6" customHeight="1" x14ac:dyDescent="0.2">
      <c r="T48" s="71"/>
    </row>
  </sheetData>
  <mergeCells count="2">
    <mergeCell ref="O13:P13"/>
    <mergeCell ref="O14:P14"/>
  </mergeCells>
  <printOptions horizontalCentered="1"/>
  <pageMargins left="0.25" right="0.25" top="0.5" bottom="0.5" header="0.3" footer="0.3"/>
  <pageSetup scale="91" fitToHeight="0" orientation="landscape" r:id="rId1"/>
  <headerFooter scaleWithDoc="0">
    <oddFooter>&amp;R&amp;10Exhibit No. 45
Case No. IPC-E-25-16
G. Anderson, IPC
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344A-1612-4699-971E-CBE215C81754}">
  <sheetPr>
    <tabColor theme="3"/>
    <pageSetUpPr fitToPage="1"/>
  </sheetPr>
  <dimension ref="C3:XFD51"/>
  <sheetViews>
    <sheetView showGridLines="0" view="pageBreakPreview" topLeftCell="A10" zoomScale="110" zoomScaleNormal="100" zoomScaleSheetLayoutView="110" workbookViewId="0">
      <selection activeCell="C16" sqref="C16:P45"/>
    </sheetView>
  </sheetViews>
  <sheetFormatPr defaultColWidth="9.140625" defaultRowHeight="12" x14ac:dyDescent="0.2"/>
  <cols>
    <col min="1" max="2" width="1.7109375" style="9" customWidth="1"/>
    <col min="3" max="5" width="8.7109375" style="9" customWidth="1"/>
    <col min="6" max="6" width="11.7109375" style="9" customWidth="1"/>
    <col min="7" max="15" width="12.7109375" style="9" customWidth="1"/>
    <col min="16" max="16" width="9.7109375" style="9" customWidth="1"/>
    <col min="17" max="18" width="1.7109375" style="9" customWidth="1"/>
    <col min="19" max="19" width="17.140625" style="9" customWidth="1"/>
    <col min="20" max="23" width="12.7109375" style="9" customWidth="1"/>
    <col min="24" max="16384" width="9.140625" style="9"/>
  </cols>
  <sheetData>
    <row r="3" spans="3:23 16384:16384" x14ac:dyDescent="0.2">
      <c r="C3" s="2" t="str">
        <f>+Company</f>
        <v>Idaho Power Company</v>
      </c>
      <c r="D3" s="11"/>
      <c r="E3" s="11"/>
      <c r="F3" s="11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3:23 16384:16384" x14ac:dyDescent="0.2">
      <c r="C4" s="2" t="str">
        <f>+State</f>
        <v>State of Idaho</v>
      </c>
      <c r="D4" s="11"/>
      <c r="E4" s="11"/>
      <c r="F4" s="11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3:23 16384:16384" x14ac:dyDescent="0.2">
      <c r="C5" s="3" t="str">
        <f>+HeadingTitle2</f>
        <v>Monthly Adjusted Base Revenue Comparison</v>
      </c>
      <c r="D5" s="11"/>
      <c r="E5" s="11"/>
      <c r="F5" s="11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3:23 16384:16384" x14ac:dyDescent="0.2">
      <c r="C6" s="2" t="str">
        <f>+Version</f>
        <v>Filed May 30, 2025</v>
      </c>
      <c r="D6" s="11"/>
      <c r="E6" s="11"/>
      <c r="F6" s="11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3:23 16384:16384" x14ac:dyDescent="0.2">
      <c r="C7" s="2" t="str">
        <f>+Docket</f>
        <v>IPC-E-25-16</v>
      </c>
      <c r="D7" s="11"/>
      <c r="E7" s="11"/>
      <c r="F7" s="11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3:23 16384:16384" x14ac:dyDescent="0.2">
      <c r="C8" s="11"/>
      <c r="D8" s="11"/>
      <c r="E8" s="11"/>
      <c r="F8" s="11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3:23 16384:16384" x14ac:dyDescent="0.2">
      <c r="C9" s="11" t="s">
        <v>67</v>
      </c>
      <c r="D9" s="11"/>
      <c r="E9" s="11"/>
      <c r="F9" s="11"/>
      <c r="G9" s="73"/>
      <c r="H9" s="73"/>
      <c r="I9" s="73"/>
      <c r="J9" s="73"/>
      <c r="K9" s="73"/>
      <c r="L9" s="73"/>
      <c r="M9" s="73"/>
      <c r="N9" s="73"/>
      <c r="O9" s="73"/>
      <c r="P9" s="73"/>
    </row>
    <row r="10" spans="3:23 16384:16384" x14ac:dyDescent="0.2">
      <c r="C10" s="96" t="s">
        <v>68</v>
      </c>
      <c r="D10" s="11"/>
      <c r="E10" s="11"/>
      <c r="F10" s="11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2" spans="3:23 16384:16384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  <c r="O12" s="8" t="s">
        <v>49</v>
      </c>
      <c r="P12" s="8" t="s">
        <v>50</v>
      </c>
    </row>
    <row r="13" spans="3:23 16384:16384" ht="16.5" x14ac:dyDescent="0.35">
      <c r="G13" s="10" t="s">
        <v>14</v>
      </c>
      <c r="H13" s="10"/>
      <c r="I13" s="11"/>
      <c r="J13" s="10"/>
      <c r="K13" s="10" t="s">
        <v>15</v>
      </c>
      <c r="L13" s="10"/>
      <c r="M13" s="11"/>
      <c r="N13" s="10"/>
      <c r="O13" s="11" t="s">
        <v>16</v>
      </c>
      <c r="P13" s="10"/>
      <c r="XFD13" s="12" t="s">
        <v>51</v>
      </c>
    </row>
    <row r="14" spans="3:23 16384:16384" ht="16.5" x14ac:dyDescent="0.35">
      <c r="C14" s="13" t="s">
        <v>18</v>
      </c>
      <c r="D14" s="75" t="s">
        <v>52</v>
      </c>
      <c r="E14" s="75" t="s">
        <v>53</v>
      </c>
      <c r="G14" s="10" t="s">
        <v>19</v>
      </c>
      <c r="H14" s="10"/>
      <c r="I14" s="10" t="s">
        <v>20</v>
      </c>
      <c r="J14" s="10"/>
      <c r="K14" s="10" t="s">
        <v>21</v>
      </c>
      <c r="L14" s="10"/>
      <c r="M14" s="10" t="s">
        <v>22</v>
      </c>
      <c r="N14" s="10"/>
      <c r="O14" s="10" t="s">
        <v>23</v>
      </c>
      <c r="P14" s="10"/>
      <c r="S14" s="16"/>
      <c r="T14" s="17" t="s">
        <v>19</v>
      </c>
      <c r="U14" s="17"/>
      <c r="V14" s="17" t="s">
        <v>20</v>
      </c>
      <c r="W14" s="18"/>
      <c r="XFD14" s="12" t="s">
        <v>51</v>
      </c>
    </row>
    <row r="15" spans="3:23 16384:16384" ht="16.5" customHeight="1" x14ac:dyDescent="0.35">
      <c r="C15" s="10" t="s">
        <v>24</v>
      </c>
      <c r="D15" s="10" t="s">
        <v>54</v>
      </c>
      <c r="E15" s="10" t="s">
        <v>55</v>
      </c>
      <c r="F15" s="10" t="s">
        <v>25</v>
      </c>
      <c r="G15" s="10" t="s">
        <v>26</v>
      </c>
      <c r="H15" s="10" t="s">
        <v>27</v>
      </c>
      <c r="I15" s="10" t="s">
        <v>26</v>
      </c>
      <c r="J15" s="10" t="s">
        <v>27</v>
      </c>
      <c r="K15" s="10" t="s">
        <v>26</v>
      </c>
      <c r="L15" s="10" t="s">
        <v>27</v>
      </c>
      <c r="M15" s="10" t="s">
        <v>26</v>
      </c>
      <c r="N15" s="10" t="s">
        <v>27</v>
      </c>
      <c r="O15" s="10" t="s">
        <v>21</v>
      </c>
      <c r="P15" s="10" t="s">
        <v>22</v>
      </c>
      <c r="S15" s="20"/>
      <c r="T15" s="10" t="s">
        <v>26</v>
      </c>
      <c r="U15" s="10" t="s">
        <v>27</v>
      </c>
      <c r="V15" s="10" t="s">
        <v>26</v>
      </c>
      <c r="W15" s="21" t="s">
        <v>27</v>
      </c>
    </row>
    <row r="16" spans="3:23 16384:16384" x14ac:dyDescent="0.2">
      <c r="C16" s="122">
        <v>1</v>
      </c>
      <c r="D16" s="123">
        <v>1000</v>
      </c>
      <c r="E16" s="124">
        <v>0.4</v>
      </c>
      <c r="F16" s="123">
        <f t="shared" ref="F16:F45" si="0">+MROUND(D16*30.5*24*E16,5000)</f>
        <v>295000</v>
      </c>
      <c r="G16" s="125">
        <f t="shared" ref="G16:J45" si="1">+SUM(T$16,$D16*$T$27*T$17,$D16*T$18,$D16*T$19*$T$26,$F16*T$23*T$20,$F16*T$24*T$21,$F16*T$25*T$22,$F16*T$28)</f>
        <v>29553.27141330632</v>
      </c>
      <c r="H16" s="125">
        <f t="shared" si="1"/>
        <v>25491.218924958361</v>
      </c>
      <c r="I16" s="125">
        <f t="shared" si="1"/>
        <v>32758.602893770912</v>
      </c>
      <c r="J16" s="125">
        <f t="shared" si="1"/>
        <v>29558.692873298893</v>
      </c>
      <c r="K16" s="125">
        <f t="shared" ref="K16:L18" si="2">+I16-G16</f>
        <v>3205.3314804645925</v>
      </c>
      <c r="L16" s="125">
        <f t="shared" si="2"/>
        <v>4067.4739483405319</v>
      </c>
      <c r="M16" s="126">
        <f t="shared" ref="M16:N18" si="3">+I16/G16-1</f>
        <v>0.10845944720087397</v>
      </c>
      <c r="N16" s="126">
        <f t="shared" si="3"/>
        <v>0.15956372899681481</v>
      </c>
      <c r="O16" s="125">
        <f t="shared" ref="O16" si="4">(I16*4+J16*8-G16*4-H16*8)/12</f>
        <v>3780.0931257152188</v>
      </c>
      <c r="P16" s="126">
        <f>+O16/((G16*4+H16*8)/12)</f>
        <v>0.14081057310963846</v>
      </c>
      <c r="Q16" s="1"/>
      <c r="S16" s="42" t="s">
        <v>29</v>
      </c>
      <c r="T16" s="45">
        <f>[1]I19P!$F$17</f>
        <v>415</v>
      </c>
      <c r="U16" s="45">
        <f>[1]I19P!$F$17</f>
        <v>415</v>
      </c>
      <c r="V16" s="45">
        <f>[1]I19P!H17</f>
        <v>490</v>
      </c>
      <c r="W16" s="46">
        <f>[1]I19P!H17</f>
        <v>490</v>
      </c>
    </row>
    <row r="17" spans="3:23" x14ac:dyDescent="0.2">
      <c r="C17" s="122">
        <f>+IF(D17="","",MAX($C$16:C16)+1)</f>
        <v>2</v>
      </c>
      <c r="D17" s="127">
        <f>+D16</f>
        <v>1000</v>
      </c>
      <c r="E17" s="124">
        <f>+E16+10%</f>
        <v>0.5</v>
      </c>
      <c r="F17" s="123">
        <f t="shared" si="0"/>
        <v>365000</v>
      </c>
      <c r="G17" s="77">
        <f t="shared" si="1"/>
        <v>33160.314153463296</v>
      </c>
      <c r="H17" s="77">
        <f t="shared" si="1"/>
        <v>28800.08853393075</v>
      </c>
      <c r="I17" s="77">
        <f t="shared" si="1"/>
        <v>36179.689733760737</v>
      </c>
      <c r="J17" s="77">
        <f t="shared" si="1"/>
        <v>32929.912956493528</v>
      </c>
      <c r="K17" s="77">
        <f t="shared" si="2"/>
        <v>3019.375580297441</v>
      </c>
      <c r="L17" s="77">
        <f t="shared" si="2"/>
        <v>4129.8244225627786</v>
      </c>
      <c r="M17" s="126">
        <f t="shared" si="3"/>
        <v>9.1053889487415995E-2</v>
      </c>
      <c r="N17" s="126">
        <f t="shared" si="3"/>
        <v>0.1433962405253455</v>
      </c>
      <c r="O17" s="77">
        <f>(I17*4+J17*8-G17*4-H17*8)/12</f>
        <v>3759.6748084743303</v>
      </c>
      <c r="P17" s="126">
        <f t="shared" ref="P17:P45" si="5">+O17/((G17*4+H17*8)/12)</f>
        <v>0.12427240392428492</v>
      </c>
      <c r="Q17" s="1"/>
      <c r="S17" s="42" t="s">
        <v>56</v>
      </c>
      <c r="T17" s="45">
        <f>[1]I19P!$F$20</f>
        <v>2.21</v>
      </c>
      <c r="U17" s="45">
        <f>[1]I19P!$F$20</f>
        <v>2.21</v>
      </c>
      <c r="V17" s="45">
        <f>[1]I19P!$H$20</f>
        <v>2.6</v>
      </c>
      <c r="W17" s="46">
        <f>[1]I19P!$H$20</f>
        <v>2.6</v>
      </c>
    </row>
    <row r="18" spans="3:23" x14ac:dyDescent="0.2">
      <c r="C18" s="122">
        <f>+IF(D18="","",MAX($C$16:C17)+1)</f>
        <v>3</v>
      </c>
      <c r="D18" s="127">
        <f>+D17</f>
        <v>1000</v>
      </c>
      <c r="E18" s="124">
        <f>+E17+10%</f>
        <v>0.6</v>
      </c>
      <c r="F18" s="123">
        <f t="shared" si="0"/>
        <v>440000</v>
      </c>
      <c r="G18" s="77">
        <f t="shared" si="1"/>
        <v>37025.002803631491</v>
      </c>
      <c r="H18" s="77">
        <f t="shared" si="1"/>
        <v>32345.305972115457</v>
      </c>
      <c r="I18" s="77">
        <f t="shared" si="1"/>
        <v>39845.13991946412</v>
      </c>
      <c r="J18" s="77">
        <f t="shared" si="1"/>
        <v>36541.934474202062</v>
      </c>
      <c r="K18" s="77">
        <f t="shared" si="2"/>
        <v>2820.1371158326292</v>
      </c>
      <c r="L18" s="77">
        <f t="shared" si="2"/>
        <v>4196.6285020866053</v>
      </c>
      <c r="M18" s="126">
        <f t="shared" si="3"/>
        <v>7.6168451108287849E-2</v>
      </c>
      <c r="N18" s="126">
        <f t="shared" si="3"/>
        <v>0.12974459124623761</v>
      </c>
      <c r="O18" s="77">
        <f t="shared" ref="O18:O45" si="6">(I18*4+J18*8-G18*4-H18*8)/12</f>
        <v>3737.7980400019492</v>
      </c>
      <c r="P18" s="126">
        <f t="shared" si="5"/>
        <v>0.11024260284718479</v>
      </c>
      <c r="Q18" s="1"/>
      <c r="S18" s="42" t="s">
        <v>57</v>
      </c>
      <c r="T18" s="45">
        <f>[1]I19P!F22</f>
        <v>10.039999999999999</v>
      </c>
      <c r="U18" s="45">
        <f>[1]I19P!F23</f>
        <v>8.64</v>
      </c>
      <c r="V18" s="45">
        <f>[1]I19P!H22</f>
        <v>13.09</v>
      </c>
      <c r="W18" s="46">
        <f>[1]I19P!H23</f>
        <v>11.93</v>
      </c>
    </row>
    <row r="19" spans="3:23" x14ac:dyDescent="0.2">
      <c r="C19" s="122">
        <f>+IF(D19="","",MAX($C$16:C18)+1)</f>
        <v>4</v>
      </c>
      <c r="D19" s="127">
        <f>+D18</f>
        <v>1000</v>
      </c>
      <c r="E19" s="124">
        <f>+E18+10%</f>
        <v>0.7</v>
      </c>
      <c r="F19" s="123">
        <f t="shared" si="0"/>
        <v>510000</v>
      </c>
      <c r="G19" s="77">
        <f t="shared" si="1"/>
        <v>40632.045543788467</v>
      </c>
      <c r="H19" s="77">
        <f t="shared" si="1"/>
        <v>35654.175581087853</v>
      </c>
      <c r="I19" s="77">
        <f t="shared" si="1"/>
        <v>43266.226759453944</v>
      </c>
      <c r="J19" s="77">
        <f t="shared" si="1"/>
        <v>39913.154557396701</v>
      </c>
      <c r="K19" s="77">
        <f>+I19-G19</f>
        <v>2634.1812156654778</v>
      </c>
      <c r="L19" s="77">
        <f>+J19-H19</f>
        <v>4258.9789763088484</v>
      </c>
      <c r="M19" s="126">
        <f>+I19/G19-1</f>
        <v>6.4830140358714372E-2</v>
      </c>
      <c r="N19" s="126">
        <f>+J19/H19-1</f>
        <v>0.11945245982823827</v>
      </c>
      <c r="O19" s="77">
        <f t="shared" si="6"/>
        <v>3717.379722761058</v>
      </c>
      <c r="P19" s="126">
        <f t="shared" si="5"/>
        <v>9.9625689174362098E-2</v>
      </c>
      <c r="Q19" s="1"/>
      <c r="S19" s="42" t="s">
        <v>62</v>
      </c>
      <c r="T19" s="45">
        <f>[1]I19P!F25</f>
        <v>1.59</v>
      </c>
      <c r="U19" s="45"/>
      <c r="V19" s="45">
        <f>[1]I19P!H25</f>
        <v>2.0699999999999998</v>
      </c>
      <c r="W19" s="46"/>
    </row>
    <row r="20" spans="3:23" x14ac:dyDescent="0.2">
      <c r="C20" s="122">
        <f>+IF(D20="","",MAX($C$16:C19)+1)</f>
        <v>5</v>
      </c>
      <c r="D20" s="127">
        <f>+D19</f>
        <v>1000</v>
      </c>
      <c r="E20" s="124">
        <f>+E19+10%</f>
        <v>0.79999999999999993</v>
      </c>
      <c r="F20" s="123">
        <f t="shared" si="0"/>
        <v>585000</v>
      </c>
      <c r="G20" s="77">
        <f t="shared" si="1"/>
        <v>44496.734193956661</v>
      </c>
      <c r="H20" s="77">
        <f t="shared" si="1"/>
        <v>39199.393019272553</v>
      </c>
      <c r="I20" s="77">
        <f t="shared" si="1"/>
        <v>46931.676945157335</v>
      </c>
      <c r="J20" s="77">
        <f t="shared" si="1"/>
        <v>43525.176075105235</v>
      </c>
      <c r="K20" s="77">
        <f>+I20-G20</f>
        <v>2434.9427512006732</v>
      </c>
      <c r="L20" s="77">
        <f>+J20-H20</f>
        <v>4325.7830558326823</v>
      </c>
      <c r="M20" s="126">
        <f>+I20/G20-1</f>
        <v>5.4721830608669197E-2</v>
      </c>
      <c r="N20" s="126">
        <f>+J20/H20-1</f>
        <v>0.11035331730024223</v>
      </c>
      <c r="O20" s="77">
        <f t="shared" si="6"/>
        <v>3695.5029542886864</v>
      </c>
      <c r="P20" s="126">
        <f t="shared" si="5"/>
        <v>9.0210846106447806E-2</v>
      </c>
      <c r="Q20" s="1"/>
      <c r="S20" s="42" t="s">
        <v>63</v>
      </c>
      <c r="T20" s="47">
        <f>[1]I19P!F27</f>
        <v>5.2313999999999999E-2</v>
      </c>
      <c r="U20" s="47">
        <f>[1]I19P!F32</f>
        <v>4.7226999999999998E-2</v>
      </c>
      <c r="V20" s="47">
        <f>[1]I19P!H27</f>
        <v>6.6358E-2</v>
      </c>
      <c r="W20" s="48">
        <f>[1]I19P!H32</f>
        <v>5.3897E-2</v>
      </c>
    </row>
    <row r="21" spans="3:23" x14ac:dyDescent="0.2">
      <c r="C21" s="128">
        <f>+IF(D21="","",MAX($C$16:C20)+1)</f>
        <v>6</v>
      </c>
      <c r="D21" s="129">
        <v>2500</v>
      </c>
      <c r="E21" s="130">
        <f t="shared" ref="E21:E45" si="7">+E16</f>
        <v>0.4</v>
      </c>
      <c r="F21" s="129">
        <f t="shared" si="0"/>
        <v>730000</v>
      </c>
      <c r="G21" s="131">
        <f t="shared" si="1"/>
        <v>72874.209668248979</v>
      </c>
      <c r="H21" s="131">
        <f t="shared" si="1"/>
        <v>62751.025568577432</v>
      </c>
      <c r="I21" s="131">
        <f t="shared" si="1"/>
        <v>80794.96221585694</v>
      </c>
      <c r="J21" s="131">
        <f t="shared" si="1"/>
        <v>72800.530031476374</v>
      </c>
      <c r="K21" s="131">
        <f t="shared" ref="K21:L36" si="8">+I21-G21</f>
        <v>7920.7525476079609</v>
      </c>
      <c r="L21" s="131">
        <f t="shared" si="8"/>
        <v>10049.504462898942</v>
      </c>
      <c r="M21" s="132">
        <f t="shared" ref="M21:N36" si="9">+I21/G21-1</f>
        <v>0.10869075059154976</v>
      </c>
      <c r="N21" s="132">
        <f t="shared" si="9"/>
        <v>0.16014884811589813</v>
      </c>
      <c r="O21" s="131">
        <f t="shared" si="6"/>
        <v>9339.9204911352808</v>
      </c>
      <c r="P21" s="132">
        <f t="shared" si="5"/>
        <v>0.14124553693897721</v>
      </c>
      <c r="Q21" s="1"/>
      <c r="S21" s="42" t="s">
        <v>64</v>
      </c>
      <c r="T21" s="47">
        <f>[1]I19P!F28</f>
        <v>5.2313999999999999E-2</v>
      </c>
      <c r="U21" s="47">
        <f>[1]I19P!F33</f>
        <v>4.4804999999999998E-2</v>
      </c>
      <c r="V21" s="47">
        <f>[1]I19P!H28</f>
        <v>5.5114999999999997E-2</v>
      </c>
      <c r="W21" s="48">
        <f>[1]I19P!H33</f>
        <v>4.9043999999999997E-2</v>
      </c>
    </row>
    <row r="22" spans="3:23" x14ac:dyDescent="0.2">
      <c r="C22" s="128">
        <f>+IF(D22="","",MAX($C$16:C21)+1)</f>
        <v>7</v>
      </c>
      <c r="D22" s="133">
        <f>+D21</f>
        <v>2500</v>
      </c>
      <c r="E22" s="130">
        <f t="shared" si="7"/>
        <v>0.5</v>
      </c>
      <c r="F22" s="129">
        <f t="shared" si="0"/>
        <v>915000</v>
      </c>
      <c r="G22" s="19">
        <f t="shared" si="1"/>
        <v>82407.108338663849</v>
      </c>
      <c r="H22" s="19">
        <f t="shared" si="1"/>
        <v>71495.89524943303</v>
      </c>
      <c r="I22" s="19">
        <f t="shared" si="1"/>
        <v>89836.406007258629</v>
      </c>
      <c r="J22" s="19">
        <f t="shared" si="1"/>
        <v>81710.183108490775</v>
      </c>
      <c r="K22" s="19">
        <f t="shared" si="8"/>
        <v>7429.2976685947797</v>
      </c>
      <c r="L22" s="19">
        <f t="shared" si="8"/>
        <v>10214.287859057746</v>
      </c>
      <c r="M22" s="132">
        <f t="shared" si="9"/>
        <v>9.0153602260414356E-2</v>
      </c>
      <c r="N22" s="132">
        <f t="shared" si="9"/>
        <v>0.14286537462636706</v>
      </c>
      <c r="O22" s="19">
        <f t="shared" si="6"/>
        <v>9285.9577955700897</v>
      </c>
      <c r="P22" s="132">
        <f t="shared" si="5"/>
        <v>0.12359365343124655</v>
      </c>
      <c r="Q22" s="1"/>
      <c r="S22" s="42" t="s">
        <v>65</v>
      </c>
      <c r="T22" s="47">
        <f>[1]I19P!F29</f>
        <v>4.6654999999999995E-2</v>
      </c>
      <c r="U22" s="47">
        <f>[1]I19P!F34</f>
        <v>4.2862999999999998E-2</v>
      </c>
      <c r="V22" s="47">
        <f>[1]I19P!H29</f>
        <v>4.3473999999999999E-2</v>
      </c>
      <c r="W22" s="48">
        <f>[1]I19P!H34</f>
        <v>4.5588999999999998E-2</v>
      </c>
    </row>
    <row r="23" spans="3:23" x14ac:dyDescent="0.2">
      <c r="C23" s="128">
        <f>+IF(D23="","",MAX($C$16:C22)+1)</f>
        <v>8</v>
      </c>
      <c r="D23" s="133">
        <f>+D22</f>
        <v>2500</v>
      </c>
      <c r="E23" s="130">
        <f t="shared" si="7"/>
        <v>0.6</v>
      </c>
      <c r="F23" s="129">
        <f t="shared" si="0"/>
        <v>1100000</v>
      </c>
      <c r="G23" s="19">
        <f t="shared" si="1"/>
        <v>91940.007009078719</v>
      </c>
      <c r="H23" s="19">
        <f t="shared" si="1"/>
        <v>80240.764930288642</v>
      </c>
      <c r="I23" s="19">
        <f t="shared" si="1"/>
        <v>98877.849798660303</v>
      </c>
      <c r="J23" s="19">
        <f t="shared" si="1"/>
        <v>90619.836185505177</v>
      </c>
      <c r="K23" s="19">
        <f t="shared" si="8"/>
        <v>6937.8427895815839</v>
      </c>
      <c r="L23" s="19">
        <f t="shared" si="8"/>
        <v>10379.071255216535</v>
      </c>
      <c r="M23" s="132">
        <f t="shared" si="9"/>
        <v>7.5460542317518975E-2</v>
      </c>
      <c r="N23" s="132">
        <f t="shared" si="9"/>
        <v>0.12934910658234178</v>
      </c>
      <c r="O23" s="19">
        <f t="shared" si="6"/>
        <v>9231.9951000048895</v>
      </c>
      <c r="P23" s="132">
        <f t="shared" si="5"/>
        <v>0.10972116580653007</v>
      </c>
      <c r="Q23" s="1"/>
      <c r="S23" s="51" t="s">
        <v>41</v>
      </c>
      <c r="T23" s="52">
        <f>[1]I19P!E27/[1]I19P!$E$30</f>
        <v>0.14232765487414498</v>
      </c>
      <c r="U23" s="52">
        <f>[1]I19P!E32/[1]I19P!$E$35</f>
        <v>0.21698741048350026</v>
      </c>
      <c r="V23" s="52">
        <f t="shared" ref="V23:W25" si="10">T23</f>
        <v>0.14232765487414498</v>
      </c>
      <c r="W23" s="53">
        <f t="shared" si="10"/>
        <v>0.21698741048350026</v>
      </c>
    </row>
    <row r="24" spans="3:23" x14ac:dyDescent="0.2">
      <c r="C24" s="128">
        <f>+IF(D24="","",MAX($C$16:C23)+1)</f>
        <v>9</v>
      </c>
      <c r="D24" s="133">
        <f>+D23</f>
        <v>2500</v>
      </c>
      <c r="E24" s="130">
        <f t="shared" si="7"/>
        <v>0.7</v>
      </c>
      <c r="F24" s="129">
        <f t="shared" si="0"/>
        <v>1280000</v>
      </c>
      <c r="G24" s="19">
        <f t="shared" si="1"/>
        <v>101215.25976948238</v>
      </c>
      <c r="H24" s="19">
        <f t="shared" si="1"/>
        <v>88749.286781931951</v>
      </c>
      <c r="I24" s="19">
        <f t="shared" si="1"/>
        <v>107674.93024434842</v>
      </c>
      <c r="J24" s="19">
        <f t="shared" si="1"/>
        <v>99288.687828005655</v>
      </c>
      <c r="K24" s="19">
        <f t="shared" si="8"/>
        <v>6459.6704748660413</v>
      </c>
      <c r="L24" s="19">
        <f t="shared" si="8"/>
        <v>10539.401046073704</v>
      </c>
      <c r="M24" s="132">
        <f t="shared" si="9"/>
        <v>6.3821112444684136E-2</v>
      </c>
      <c r="N24" s="132">
        <f t="shared" si="9"/>
        <v>0.11875476894783765</v>
      </c>
      <c r="O24" s="19">
        <f t="shared" si="6"/>
        <v>9179.4908556711653</v>
      </c>
      <c r="P24" s="132">
        <f t="shared" si="5"/>
        <v>9.8805546311284215E-2</v>
      </c>
      <c r="Q24" s="1"/>
      <c r="S24" s="51" t="s">
        <v>42</v>
      </c>
      <c r="T24" s="52">
        <f>[1]I19P!E28/[1]I19P!$E$30</f>
        <v>0.1839741507234656</v>
      </c>
      <c r="U24" s="52">
        <f>[1]I19P!E33/[1]I19P!$E$35</f>
        <v>0.22244732170291781</v>
      </c>
      <c r="V24" s="52">
        <f t="shared" si="10"/>
        <v>0.1839741507234656</v>
      </c>
      <c r="W24" s="53">
        <f t="shared" si="10"/>
        <v>0.22244732170291781</v>
      </c>
    </row>
    <row r="25" spans="3:23" x14ac:dyDescent="0.2">
      <c r="C25" s="128">
        <f>+IF(D25="","",MAX($C$16:C24)+1)</f>
        <v>10</v>
      </c>
      <c r="D25" s="133">
        <f>+D24</f>
        <v>2500</v>
      </c>
      <c r="E25" s="130">
        <f t="shared" si="7"/>
        <v>0.79999999999999993</v>
      </c>
      <c r="F25" s="129">
        <f t="shared" si="0"/>
        <v>1465000</v>
      </c>
      <c r="G25" s="19">
        <f t="shared" si="1"/>
        <v>110748.15843989726</v>
      </c>
      <c r="H25" s="19">
        <f t="shared" si="1"/>
        <v>97494.156462787534</v>
      </c>
      <c r="I25" s="19">
        <f t="shared" si="1"/>
        <v>116716.37403575011</v>
      </c>
      <c r="J25" s="19">
        <f t="shared" si="1"/>
        <v>108198.34090502004</v>
      </c>
      <c r="K25" s="19">
        <f t="shared" si="8"/>
        <v>5968.2155958528456</v>
      </c>
      <c r="L25" s="19">
        <f t="shared" si="8"/>
        <v>10704.184442232508</v>
      </c>
      <c r="M25" s="132">
        <f t="shared" si="9"/>
        <v>5.3889975959209968E-2</v>
      </c>
      <c r="N25" s="132">
        <f t="shared" si="9"/>
        <v>0.10979308740743021</v>
      </c>
      <c r="O25" s="19">
        <f t="shared" si="6"/>
        <v>9125.5281601059542</v>
      </c>
      <c r="P25" s="132">
        <f t="shared" si="5"/>
        <v>8.9543077271904359E-2</v>
      </c>
      <c r="Q25" s="1"/>
      <c r="S25" s="51" t="s">
        <v>43</v>
      </c>
      <c r="T25" s="52">
        <f>[1]I19P!E29/[1]I19P!$E$30</f>
        <v>0.67369819440238943</v>
      </c>
      <c r="U25" s="52">
        <f>[1]I19P!E34/[1]I19P!$E$35</f>
        <v>0.56056526781358185</v>
      </c>
      <c r="V25" s="52">
        <f t="shared" si="10"/>
        <v>0.67369819440238943</v>
      </c>
      <c r="W25" s="53">
        <f t="shared" si="10"/>
        <v>0.56056526781358185</v>
      </c>
    </row>
    <row r="26" spans="3:23" x14ac:dyDescent="0.2">
      <c r="C26" s="122">
        <f>+IF(D26="","",MAX($C$16:C25)+1)</f>
        <v>11</v>
      </c>
      <c r="D26" s="123">
        <v>3500</v>
      </c>
      <c r="E26" s="124">
        <f t="shared" si="7"/>
        <v>0.4</v>
      </c>
      <c r="F26" s="123">
        <f t="shared" si="0"/>
        <v>1025000</v>
      </c>
      <c r="G26" s="125">
        <f t="shared" si="1"/>
        <v>102012.48108155531</v>
      </c>
      <c r="H26" s="125">
        <f t="shared" si="1"/>
        <v>87827.244493535807</v>
      </c>
      <c r="I26" s="125">
        <f t="shared" si="1"/>
        <v>113063.56510962785</v>
      </c>
      <c r="J26" s="125">
        <f t="shared" si="1"/>
        <v>101869.22290477529</v>
      </c>
      <c r="K26" s="125">
        <f t="shared" si="8"/>
        <v>11051.084028072539</v>
      </c>
      <c r="L26" s="125">
        <f t="shared" si="8"/>
        <v>14041.978411239485</v>
      </c>
      <c r="M26" s="126">
        <f t="shared" si="9"/>
        <v>0.10833070533043498</v>
      </c>
      <c r="N26" s="126">
        <f t="shared" si="9"/>
        <v>0.15988180538070962</v>
      </c>
      <c r="O26" s="125">
        <f t="shared" si="6"/>
        <v>13045.013616850503</v>
      </c>
      <c r="P26" s="126">
        <f t="shared" si="5"/>
        <v>0.14094237006612298</v>
      </c>
      <c r="Q26" s="1"/>
      <c r="S26" s="51" t="s">
        <v>69</v>
      </c>
      <c r="T26" s="52">
        <f>[1]I19P!E25/[1]I19P!E22</f>
        <v>0.88394070516535461</v>
      </c>
      <c r="U26" s="52"/>
      <c r="V26" s="52">
        <f>T26</f>
        <v>0.88394070516535461</v>
      </c>
      <c r="W26" s="53"/>
    </row>
    <row r="27" spans="3:23" x14ac:dyDescent="0.2">
      <c r="C27" s="122">
        <f>+IF(D27="","",MAX($C$16:C26)+1)</f>
        <v>12</v>
      </c>
      <c r="D27" s="127">
        <f>+D26</f>
        <v>3500</v>
      </c>
      <c r="E27" s="124">
        <f t="shared" si="7"/>
        <v>0.5</v>
      </c>
      <c r="F27" s="123">
        <f t="shared" si="0"/>
        <v>1280000</v>
      </c>
      <c r="G27" s="77">
        <f t="shared" si="1"/>
        <v>115152.42249212715</v>
      </c>
      <c r="H27" s="77">
        <f t="shared" si="1"/>
        <v>99880.983783363801</v>
      </c>
      <c r="I27" s="77">
        <f t="shared" si="1"/>
        <v>125526.09574101935</v>
      </c>
      <c r="J27" s="77">
        <f t="shared" si="1"/>
        <v>114150.0960649843</v>
      </c>
      <c r="K27" s="77">
        <f t="shared" si="8"/>
        <v>10373.673248892199</v>
      </c>
      <c r="L27" s="77">
        <f t="shared" si="8"/>
        <v>14269.112281620502</v>
      </c>
      <c r="M27" s="126">
        <f t="shared" si="9"/>
        <v>9.0086452585063315E-2</v>
      </c>
      <c r="N27" s="126">
        <f t="shared" si="9"/>
        <v>0.14286115075287409</v>
      </c>
      <c r="O27" s="77">
        <f t="shared" si="6"/>
        <v>12970.632604044396</v>
      </c>
      <c r="P27" s="126">
        <f t="shared" si="5"/>
        <v>0.12356341609178575</v>
      </c>
      <c r="Q27" s="1"/>
      <c r="S27" s="51" t="s">
        <v>59</v>
      </c>
      <c r="T27" s="52">
        <f>[1]I19P!E20/[1]I19P!E24</f>
        <v>1.1274647065302494</v>
      </c>
      <c r="U27" s="52"/>
      <c r="V27" s="52"/>
      <c r="W27" s="53"/>
    </row>
    <row r="28" spans="3:23" x14ac:dyDescent="0.2">
      <c r="C28" s="122">
        <f>+IF(D28="","",MAX($C$16:C27)+1)</f>
        <v>13</v>
      </c>
      <c r="D28" s="127">
        <f>+D27</f>
        <v>3500</v>
      </c>
      <c r="E28" s="124">
        <f t="shared" si="7"/>
        <v>0.6</v>
      </c>
      <c r="F28" s="123">
        <f t="shared" si="0"/>
        <v>1535000</v>
      </c>
      <c r="G28" s="77">
        <f t="shared" si="1"/>
        <v>128292.36390269903</v>
      </c>
      <c r="H28" s="77">
        <f t="shared" si="1"/>
        <v>111934.72307319181</v>
      </c>
      <c r="I28" s="77">
        <f t="shared" si="1"/>
        <v>137988.62637241086</v>
      </c>
      <c r="J28" s="77">
        <f t="shared" si="1"/>
        <v>126430.96922519333</v>
      </c>
      <c r="K28" s="77">
        <f t="shared" si="8"/>
        <v>9696.2624697118299</v>
      </c>
      <c r="L28" s="77">
        <f t="shared" si="8"/>
        <v>14496.24615200152</v>
      </c>
      <c r="M28" s="126">
        <f t="shared" si="9"/>
        <v>7.5579420120949425E-2</v>
      </c>
      <c r="N28" s="126">
        <f t="shared" si="9"/>
        <v>0.12950624930320087</v>
      </c>
      <c r="O28" s="77">
        <f t="shared" si="6"/>
        <v>12896.251591238301</v>
      </c>
      <c r="P28" s="126">
        <f t="shared" si="5"/>
        <v>0.10986073353133508</v>
      </c>
      <c r="Q28" s="1"/>
      <c r="S28" s="54" t="s">
        <v>33</v>
      </c>
      <c r="T28" s="55">
        <f>[1]I19P!G50/[1]I19P!E36</f>
        <v>3.0276400843656879E-3</v>
      </c>
      <c r="U28" s="55">
        <f>+T28</f>
        <v>3.0276400843656879E-3</v>
      </c>
      <c r="V28" s="97">
        <v>0</v>
      </c>
      <c r="W28" s="98">
        <v>0</v>
      </c>
    </row>
    <row r="29" spans="3:23" x14ac:dyDescent="0.2">
      <c r="C29" s="122">
        <f>+IF(D29="","",MAX($C$16:C28)+1)</f>
        <v>14</v>
      </c>
      <c r="D29" s="127">
        <f>+D28</f>
        <v>3500</v>
      </c>
      <c r="E29" s="124">
        <f t="shared" si="7"/>
        <v>0.7</v>
      </c>
      <c r="F29" s="123">
        <f t="shared" si="0"/>
        <v>1795000</v>
      </c>
      <c r="G29" s="77">
        <f t="shared" si="1"/>
        <v>141689.95122328209</v>
      </c>
      <c r="H29" s="77">
        <f t="shared" si="1"/>
        <v>124224.81019223209</v>
      </c>
      <c r="I29" s="77">
        <f t="shared" si="1"/>
        <v>150695.52034951595</v>
      </c>
      <c r="J29" s="77">
        <f t="shared" si="1"/>
        <v>138952.64381991624</v>
      </c>
      <c r="K29" s="77">
        <f t="shared" si="8"/>
        <v>9005.569126233866</v>
      </c>
      <c r="L29" s="77">
        <f t="shared" si="8"/>
        <v>14727.833627684144</v>
      </c>
      <c r="M29" s="126">
        <f t="shared" si="9"/>
        <v>6.3558276705469652E-2</v>
      </c>
      <c r="N29" s="126">
        <f t="shared" si="9"/>
        <v>0.1185579080772472</v>
      </c>
      <c r="O29" s="77">
        <f t="shared" si="6"/>
        <v>12820.412127200718</v>
      </c>
      <c r="P29" s="126">
        <f t="shared" si="5"/>
        <v>9.8583274244920249E-2</v>
      </c>
      <c r="Q29" s="1"/>
      <c r="S29" s="99"/>
    </row>
    <row r="30" spans="3:23" x14ac:dyDescent="0.2">
      <c r="C30" s="122">
        <f>+IF(D30="","",MAX($C$16:C29)+1)</f>
        <v>15</v>
      </c>
      <c r="D30" s="127">
        <f>+D29</f>
        <v>3500</v>
      </c>
      <c r="E30" s="124">
        <f t="shared" si="7"/>
        <v>0.79999999999999993</v>
      </c>
      <c r="F30" s="123">
        <f t="shared" si="0"/>
        <v>2050000</v>
      </c>
      <c r="G30" s="77">
        <f t="shared" si="1"/>
        <v>154829.89263385395</v>
      </c>
      <c r="H30" s="77">
        <f t="shared" si="1"/>
        <v>136278.54948206013</v>
      </c>
      <c r="I30" s="77">
        <f t="shared" si="1"/>
        <v>163158.05098090746</v>
      </c>
      <c r="J30" s="77">
        <f t="shared" si="1"/>
        <v>151233.51698012528</v>
      </c>
      <c r="K30" s="77">
        <f t="shared" si="8"/>
        <v>8328.1583470535115</v>
      </c>
      <c r="L30" s="77">
        <f t="shared" si="8"/>
        <v>14954.967498065147</v>
      </c>
      <c r="M30" s="126">
        <f t="shared" si="9"/>
        <v>5.3789085591812613E-2</v>
      </c>
      <c r="N30" s="126">
        <f t="shared" si="9"/>
        <v>0.10973823507003089</v>
      </c>
      <c r="O30" s="77">
        <f t="shared" si="6"/>
        <v>12746.031114394602</v>
      </c>
      <c r="P30" s="126">
        <f t="shared" si="5"/>
        <v>8.9469483383698423E-2</v>
      </c>
      <c r="Q30" s="1"/>
      <c r="S30" s="58">
        <f>+F24</f>
        <v>1280000</v>
      </c>
      <c r="T30" s="59" t="s">
        <v>34</v>
      </c>
      <c r="U30" s="59" t="s">
        <v>20</v>
      </c>
      <c r="V30" s="59" t="s">
        <v>15</v>
      </c>
      <c r="W30" s="82" t="s">
        <v>22</v>
      </c>
    </row>
    <row r="31" spans="3:23" x14ac:dyDescent="0.2">
      <c r="C31" s="128">
        <f>+IF(D31="","",MAX($C$16:C30)+1)</f>
        <v>16</v>
      </c>
      <c r="D31" s="129">
        <v>5000</v>
      </c>
      <c r="E31" s="130">
        <f t="shared" si="7"/>
        <v>0.4</v>
      </c>
      <c r="F31" s="129">
        <f t="shared" si="0"/>
        <v>1465000</v>
      </c>
      <c r="G31" s="131">
        <f t="shared" si="1"/>
        <v>145591.06524650918</v>
      </c>
      <c r="H31" s="131">
        <f t="shared" si="1"/>
        <v>125323.39896636715</v>
      </c>
      <c r="I31" s="131">
        <f t="shared" si="1"/>
        <v>161344.28777742744</v>
      </c>
      <c r="J31" s="131">
        <f t="shared" si="1"/>
        <v>145351.86149746666</v>
      </c>
      <c r="K31" s="131">
        <f t="shared" si="8"/>
        <v>15753.222530918254</v>
      </c>
      <c r="L31" s="131">
        <f t="shared" si="8"/>
        <v>20028.462531099503</v>
      </c>
      <c r="M31" s="132">
        <f t="shared" si="9"/>
        <v>0.10820184950392053</v>
      </c>
      <c r="N31" s="132">
        <f t="shared" si="9"/>
        <v>0.15981423019395224</v>
      </c>
      <c r="O31" s="131">
        <f t="shared" si="6"/>
        <v>18603.382531039086</v>
      </c>
      <c r="P31" s="132">
        <f t="shared" si="5"/>
        <v>0.14085011246860774</v>
      </c>
      <c r="Q31" s="1"/>
      <c r="S31" s="83">
        <f>+D21</f>
        <v>2500</v>
      </c>
      <c r="W31" s="65"/>
    </row>
    <row r="32" spans="3:23" x14ac:dyDescent="0.2">
      <c r="C32" s="128">
        <f>+IF(D32="","",MAX($C$16:C31)+1)</f>
        <v>17</v>
      </c>
      <c r="D32" s="133">
        <f>+D31</f>
        <v>5000</v>
      </c>
      <c r="E32" s="130">
        <f t="shared" si="7"/>
        <v>0.5</v>
      </c>
      <c r="F32" s="129">
        <f t="shared" si="0"/>
        <v>1830000</v>
      </c>
      <c r="G32" s="19">
        <f t="shared" si="1"/>
        <v>164399.2166773277</v>
      </c>
      <c r="H32" s="19">
        <f t="shared" si="1"/>
        <v>142576.79049886606</v>
      </c>
      <c r="I32" s="19">
        <f t="shared" si="1"/>
        <v>179182.81201451726</v>
      </c>
      <c r="J32" s="19">
        <f t="shared" si="1"/>
        <v>162930.36621698155</v>
      </c>
      <c r="K32" s="19">
        <f t="shared" si="8"/>
        <v>14783.595337189559</v>
      </c>
      <c r="L32" s="19">
        <f t="shared" si="8"/>
        <v>20353.575718115491</v>
      </c>
      <c r="M32" s="132">
        <f t="shared" si="9"/>
        <v>8.9924974315454653E-2</v>
      </c>
      <c r="N32" s="132">
        <f t="shared" si="9"/>
        <v>0.14275518229088879</v>
      </c>
      <c r="O32" s="19">
        <f t="shared" si="6"/>
        <v>18496.915591140179</v>
      </c>
      <c r="P32" s="132">
        <f t="shared" si="5"/>
        <v>0.12343543864124648</v>
      </c>
      <c r="Q32" s="1"/>
      <c r="S32" s="61" t="s">
        <v>35</v>
      </c>
      <c r="T32" s="100" cm="1">
        <f t="array" ref="T32">+SUM(INDEX(G$16:G$45,MATCH($S$30&amp;$S$31,$F$16:$F$45&amp;$D$16:$D$45,0))*4,INDEX(H$16:H$45,MATCH($S$30&amp;$S$31,$F$16:$F$45&amp;$D$16:$D$45,0))*8)/12</f>
        <v>92904.611111115431</v>
      </c>
      <c r="U32" s="100" cm="1">
        <f t="array" ref="U32">+SUM(INDEX(I$16:I$45,MATCH($S$30&amp;$S$31,$F$16:$F$45&amp;$D$16:$D$45,0))*4,INDEX(J$16:J$45,MATCH($S$30&amp;$S$31,$F$16:$F$45&amp;$D$16:$D$45,0))*8)/12</f>
        <v>102084.10196678659</v>
      </c>
      <c r="V32" s="100">
        <f>+U32-T32</f>
        <v>9179.4908556711598</v>
      </c>
      <c r="W32" s="84">
        <f>+U32/T32-1</f>
        <v>9.8805546311284242E-2</v>
      </c>
    </row>
    <row r="33" spans="3:22" x14ac:dyDescent="0.2">
      <c r="C33" s="128">
        <f>+IF(D33="","",MAX($C$16:C32)+1)</f>
        <v>18</v>
      </c>
      <c r="D33" s="133">
        <f>+D32</f>
        <v>5000</v>
      </c>
      <c r="E33" s="130">
        <f t="shared" si="7"/>
        <v>0.6</v>
      </c>
      <c r="F33" s="129">
        <f t="shared" si="0"/>
        <v>2195000</v>
      </c>
      <c r="G33" s="19">
        <f t="shared" si="1"/>
        <v>183207.36810814624</v>
      </c>
      <c r="H33" s="19">
        <f t="shared" si="1"/>
        <v>159830.182031365</v>
      </c>
      <c r="I33" s="19">
        <f t="shared" si="1"/>
        <v>197021.33625160705</v>
      </c>
      <c r="J33" s="19">
        <f t="shared" si="1"/>
        <v>180508.87093649642</v>
      </c>
      <c r="K33" s="19">
        <f t="shared" si="8"/>
        <v>13813.968143460806</v>
      </c>
      <c r="L33" s="19">
        <f t="shared" si="8"/>
        <v>20678.688905131421</v>
      </c>
      <c r="M33" s="132">
        <f t="shared" si="9"/>
        <v>7.5400723705099537E-2</v>
      </c>
      <c r="N33" s="132">
        <f t="shared" si="9"/>
        <v>0.12937912378197414</v>
      </c>
      <c r="O33" s="19">
        <f t="shared" si="6"/>
        <v>18390.448651241215</v>
      </c>
      <c r="P33" s="132">
        <f t="shared" si="5"/>
        <v>0.10971343441654002</v>
      </c>
      <c r="Q33" s="1"/>
      <c r="S33" s="71"/>
      <c r="T33" s="71"/>
      <c r="U33" s="71"/>
      <c r="V33" s="71"/>
    </row>
    <row r="34" spans="3:22" x14ac:dyDescent="0.2">
      <c r="C34" s="128">
        <f>+IF(D34="","",MAX($C$16:C33)+1)</f>
        <v>19</v>
      </c>
      <c r="D34" s="133">
        <f>+D33</f>
        <v>5000</v>
      </c>
      <c r="E34" s="130">
        <f t="shared" si="7"/>
        <v>0.7</v>
      </c>
      <c r="F34" s="129">
        <f t="shared" si="0"/>
        <v>2560000</v>
      </c>
      <c r="G34" s="19">
        <f t="shared" si="1"/>
        <v>202015.51953896476</v>
      </c>
      <c r="H34" s="19">
        <f t="shared" si="1"/>
        <v>177083.5735638639</v>
      </c>
      <c r="I34" s="19">
        <f t="shared" si="1"/>
        <v>214859.86048869684</v>
      </c>
      <c r="J34" s="19">
        <f t="shared" si="1"/>
        <v>198087.37565601131</v>
      </c>
      <c r="K34" s="19">
        <f t="shared" si="8"/>
        <v>12844.340949732083</v>
      </c>
      <c r="L34" s="19">
        <f t="shared" si="8"/>
        <v>21003.802092147409</v>
      </c>
      <c r="M34" s="132">
        <f t="shared" si="9"/>
        <v>6.3580961398634894E-2</v>
      </c>
      <c r="N34" s="132">
        <f t="shared" si="9"/>
        <v>0.11860954502689958</v>
      </c>
      <c r="O34" s="19">
        <f t="shared" si="6"/>
        <v>18283.981711342331</v>
      </c>
      <c r="P34" s="132">
        <f t="shared" si="5"/>
        <v>9.8622176528378749E-2</v>
      </c>
      <c r="Q34" s="1"/>
      <c r="S34" s="71"/>
      <c r="T34" s="71"/>
      <c r="U34" s="71"/>
      <c r="V34" s="71"/>
    </row>
    <row r="35" spans="3:22" x14ac:dyDescent="0.2">
      <c r="C35" s="128">
        <f>+IF(D35="","",MAX($C$16:C34)+1)</f>
        <v>20</v>
      </c>
      <c r="D35" s="133">
        <f>+D34</f>
        <v>5000</v>
      </c>
      <c r="E35" s="130">
        <f t="shared" si="7"/>
        <v>0.79999999999999993</v>
      </c>
      <c r="F35" s="129">
        <f t="shared" si="0"/>
        <v>2930000</v>
      </c>
      <c r="G35" s="19">
        <f t="shared" si="1"/>
        <v>221081.31687979453</v>
      </c>
      <c r="H35" s="19">
        <f t="shared" si="1"/>
        <v>194573.31292557507</v>
      </c>
      <c r="I35" s="19">
        <f t="shared" si="1"/>
        <v>232942.74807150022</v>
      </c>
      <c r="J35" s="19">
        <f t="shared" si="1"/>
        <v>215906.68181004009</v>
      </c>
      <c r="K35" s="19">
        <f t="shared" si="8"/>
        <v>11861.431191705691</v>
      </c>
      <c r="L35" s="19">
        <f t="shared" si="8"/>
        <v>21333.368884465017</v>
      </c>
      <c r="M35" s="132">
        <f t="shared" si="9"/>
        <v>5.3651893154566865E-2</v>
      </c>
      <c r="N35" s="132">
        <f t="shared" si="9"/>
        <v>0.10964180320363415</v>
      </c>
      <c r="O35" s="19">
        <f t="shared" si="6"/>
        <v>18176.056320211908</v>
      </c>
      <c r="P35" s="132">
        <f t="shared" si="5"/>
        <v>8.9357050279616129E-2</v>
      </c>
      <c r="Q35" s="1"/>
    </row>
    <row r="36" spans="3:22" x14ac:dyDescent="0.2">
      <c r="C36" s="122">
        <f>+IF(D36="","",MAX($C$16:C35)+1)</f>
        <v>21</v>
      </c>
      <c r="D36" s="123">
        <v>7000</v>
      </c>
      <c r="E36" s="124">
        <f t="shared" si="7"/>
        <v>0.4</v>
      </c>
      <c r="F36" s="123">
        <f t="shared" si="0"/>
        <v>2050000</v>
      </c>
      <c r="G36" s="125">
        <f t="shared" si="1"/>
        <v>203609.96216311061</v>
      </c>
      <c r="H36" s="125">
        <f t="shared" si="1"/>
        <v>175239.48898707161</v>
      </c>
      <c r="I36" s="125">
        <f t="shared" si="1"/>
        <v>225637.13021925569</v>
      </c>
      <c r="J36" s="125">
        <f t="shared" si="1"/>
        <v>203248.44580955058</v>
      </c>
      <c r="K36" s="125">
        <f t="shared" si="8"/>
        <v>22027.168056145078</v>
      </c>
      <c r="L36" s="125">
        <f t="shared" si="8"/>
        <v>28008.956822478969</v>
      </c>
      <c r="M36" s="126">
        <f t="shared" si="9"/>
        <v>0.10818315480309981</v>
      </c>
      <c r="N36" s="126">
        <f t="shared" si="9"/>
        <v>0.15983244977703248</v>
      </c>
      <c r="O36" s="125">
        <f t="shared" si="6"/>
        <v>26015.027233701006</v>
      </c>
      <c r="P36" s="126">
        <f t="shared" si="5"/>
        <v>0.14085298595162432</v>
      </c>
      <c r="Q36" s="1"/>
      <c r="S36" s="101"/>
      <c r="U36" s="101"/>
    </row>
    <row r="37" spans="3:22" x14ac:dyDescent="0.2">
      <c r="C37" s="122">
        <f>+IF(D37="","",MAX($C$16:C36)+1)</f>
        <v>22</v>
      </c>
      <c r="D37" s="127">
        <f>+D36</f>
        <v>7000</v>
      </c>
      <c r="E37" s="124">
        <f t="shared" si="7"/>
        <v>0.5</v>
      </c>
      <c r="F37" s="123">
        <f t="shared" si="0"/>
        <v>2560000</v>
      </c>
      <c r="G37" s="77">
        <f t="shared" si="1"/>
        <v>229889.84498425431</v>
      </c>
      <c r="H37" s="77">
        <f t="shared" si="1"/>
        <v>199346.9675667276</v>
      </c>
      <c r="I37" s="77">
        <f t="shared" si="1"/>
        <v>250562.1914820387</v>
      </c>
      <c r="J37" s="77">
        <f t="shared" si="1"/>
        <v>227810.19212996861</v>
      </c>
      <c r="K37" s="77">
        <f t="shared" ref="K37:L45" si="11">+I37-G37</f>
        <v>20672.346497784398</v>
      </c>
      <c r="L37" s="77">
        <f t="shared" si="11"/>
        <v>28463.224563241005</v>
      </c>
      <c r="M37" s="126">
        <f t="shared" ref="M37:N45" si="12">+I37/G37-1</f>
        <v>8.9922834561049436E-2</v>
      </c>
      <c r="N37" s="126">
        <f t="shared" si="12"/>
        <v>0.14278233027905718</v>
      </c>
      <c r="O37" s="77">
        <f t="shared" si="6"/>
        <v>25866.265208088793</v>
      </c>
      <c r="P37" s="126">
        <f t="shared" si="5"/>
        <v>0.12345020358262365</v>
      </c>
      <c r="Q37" s="1"/>
      <c r="U37" s="101"/>
    </row>
    <row r="38" spans="3:22" x14ac:dyDescent="0.2">
      <c r="C38" s="122">
        <f>+IF(D38="","",MAX($C$16:C37)+1)</f>
        <v>23</v>
      </c>
      <c r="D38" s="127">
        <f>+D37</f>
        <v>7000</v>
      </c>
      <c r="E38" s="124">
        <f t="shared" si="7"/>
        <v>0.6</v>
      </c>
      <c r="F38" s="123">
        <f t="shared" si="0"/>
        <v>3075000</v>
      </c>
      <c r="G38" s="77">
        <f t="shared" si="1"/>
        <v>256427.37371540922</v>
      </c>
      <c r="H38" s="77">
        <f t="shared" si="1"/>
        <v>223690.79397559591</v>
      </c>
      <c r="I38" s="77">
        <f t="shared" si="1"/>
        <v>275731.6160905353</v>
      </c>
      <c r="J38" s="77">
        <f t="shared" si="1"/>
        <v>252612.73988490057</v>
      </c>
      <c r="K38" s="77">
        <f t="shared" si="11"/>
        <v>19304.242375126079</v>
      </c>
      <c r="L38" s="77">
        <f t="shared" si="11"/>
        <v>28921.945909304661</v>
      </c>
      <c r="M38" s="126">
        <f t="shared" si="12"/>
        <v>7.5281519657688811E-2</v>
      </c>
      <c r="N38" s="126">
        <f t="shared" si="12"/>
        <v>0.12929430574804956</v>
      </c>
      <c r="O38" s="77">
        <f t="shared" si="6"/>
        <v>25716.044731245143</v>
      </c>
      <c r="P38" s="126">
        <f t="shared" si="5"/>
        <v>0.10961516319861953</v>
      </c>
      <c r="Q38" s="1"/>
      <c r="U38" s="102"/>
    </row>
    <row r="39" spans="3:22" x14ac:dyDescent="0.2">
      <c r="C39" s="122">
        <f>+IF(D39="","",MAX($C$16:C38)+1)</f>
        <v>24</v>
      </c>
      <c r="D39" s="127">
        <f>+D38</f>
        <v>7000</v>
      </c>
      <c r="E39" s="124">
        <f t="shared" si="7"/>
        <v>0.7</v>
      </c>
      <c r="F39" s="123">
        <f t="shared" si="0"/>
        <v>3585000</v>
      </c>
      <c r="G39" s="77">
        <f t="shared" si="1"/>
        <v>282707.25653655292</v>
      </c>
      <c r="H39" s="77">
        <f t="shared" si="1"/>
        <v>247798.2725552519</v>
      </c>
      <c r="I39" s="77">
        <f t="shared" si="1"/>
        <v>300656.67735331831</v>
      </c>
      <c r="J39" s="77">
        <f t="shared" si="1"/>
        <v>277174.48620531859</v>
      </c>
      <c r="K39" s="77">
        <f t="shared" si="11"/>
        <v>17949.4208167654</v>
      </c>
      <c r="L39" s="77">
        <f t="shared" si="11"/>
        <v>29376.213650066697</v>
      </c>
      <c r="M39" s="126">
        <f t="shared" si="12"/>
        <v>6.3491192396911922E-2</v>
      </c>
      <c r="N39" s="126">
        <f t="shared" si="12"/>
        <v>0.11854890410310115</v>
      </c>
      <c r="O39" s="77">
        <f t="shared" si="6"/>
        <v>25567.28270563293</v>
      </c>
      <c r="P39" s="126">
        <f t="shared" si="5"/>
        <v>9.855001087567776E-2</v>
      </c>
      <c r="Q39" s="1"/>
    </row>
    <row r="40" spans="3:22" x14ac:dyDescent="0.2">
      <c r="C40" s="122">
        <f>+IF(D40="","",MAX($C$16:C39)+1)</f>
        <v>25</v>
      </c>
      <c r="D40" s="127">
        <f>+D39</f>
        <v>7000</v>
      </c>
      <c r="E40" s="124">
        <f t="shared" si="7"/>
        <v>0.79999999999999993</v>
      </c>
      <c r="F40" s="123">
        <f t="shared" si="0"/>
        <v>4100000</v>
      </c>
      <c r="G40" s="77">
        <f t="shared" si="1"/>
        <v>309244.78526770789</v>
      </c>
      <c r="H40" s="77">
        <f t="shared" si="1"/>
        <v>272142.09896412026</v>
      </c>
      <c r="I40" s="77">
        <f t="shared" si="1"/>
        <v>325826.10196181491</v>
      </c>
      <c r="J40" s="77">
        <f t="shared" si="1"/>
        <v>301977.03396025056</v>
      </c>
      <c r="K40" s="77">
        <f t="shared" si="11"/>
        <v>16581.316694107023</v>
      </c>
      <c r="L40" s="77">
        <f t="shared" si="11"/>
        <v>29834.934996130294</v>
      </c>
      <c r="M40" s="126">
        <f t="shared" si="12"/>
        <v>5.3618743092960663E-2</v>
      </c>
      <c r="N40" s="126">
        <f t="shared" si="12"/>
        <v>0.1096299878250877</v>
      </c>
      <c r="O40" s="77">
        <f t="shared" si="6"/>
        <v>25417.062228789204</v>
      </c>
      <c r="P40" s="126">
        <f t="shared" si="5"/>
        <v>8.9336376605341702E-2</v>
      </c>
      <c r="Q40" s="1"/>
      <c r="S40" s="71"/>
      <c r="T40" s="71"/>
      <c r="U40" s="71"/>
      <c r="V40" s="71"/>
    </row>
    <row r="41" spans="3:22" x14ac:dyDescent="0.2">
      <c r="C41" s="128">
        <f>+IF(D41="","",MAX($C$16:C40)+1)</f>
        <v>26</v>
      </c>
      <c r="D41" s="129">
        <v>8500</v>
      </c>
      <c r="E41" s="130">
        <f t="shared" si="7"/>
        <v>0.4</v>
      </c>
      <c r="F41" s="129">
        <f t="shared" si="0"/>
        <v>2490000</v>
      </c>
      <c r="G41" s="131">
        <f t="shared" si="1"/>
        <v>247188.54632806449</v>
      </c>
      <c r="H41" s="131">
        <f t="shared" si="1"/>
        <v>212735.64345990299</v>
      </c>
      <c r="I41" s="131">
        <f t="shared" si="1"/>
        <v>273917.85288705525</v>
      </c>
      <c r="J41" s="131">
        <f t="shared" si="1"/>
        <v>246731.08440224198</v>
      </c>
      <c r="K41" s="131">
        <f t="shared" si="11"/>
        <v>26729.306558990764</v>
      </c>
      <c r="L41" s="131">
        <f t="shared" si="11"/>
        <v>33995.440942338988</v>
      </c>
      <c r="M41" s="132">
        <f t="shared" si="12"/>
        <v>0.10813327298553732</v>
      </c>
      <c r="N41" s="132">
        <f t="shared" si="12"/>
        <v>0.15980134024295056</v>
      </c>
      <c r="O41" s="131">
        <f t="shared" si="6"/>
        <v>31573.396147889569</v>
      </c>
      <c r="P41" s="132">
        <f t="shared" si="5"/>
        <v>0.14081439646295185</v>
      </c>
      <c r="Q41" s="1"/>
      <c r="S41" s="71"/>
      <c r="T41" s="71"/>
      <c r="U41" s="71"/>
      <c r="V41" s="71"/>
    </row>
    <row r="42" spans="3:22" x14ac:dyDescent="0.2">
      <c r="C42" s="128">
        <f>+IF(D42="","",MAX($C$16:C41)+1)</f>
        <v>27</v>
      </c>
      <c r="D42" s="133">
        <f>+D41</f>
        <v>8500</v>
      </c>
      <c r="E42" s="130">
        <f t="shared" si="7"/>
        <v>0.5</v>
      </c>
      <c r="F42" s="129">
        <f t="shared" si="0"/>
        <v>3110000</v>
      </c>
      <c r="G42" s="19">
        <f t="shared" si="1"/>
        <v>279136.63916945492</v>
      </c>
      <c r="H42" s="19">
        <f t="shared" si="1"/>
        <v>242042.77428222989</v>
      </c>
      <c r="I42" s="19">
        <f t="shared" si="1"/>
        <v>304218.90775553661</v>
      </c>
      <c r="J42" s="19">
        <f t="shared" si="1"/>
        <v>276590.46228196583</v>
      </c>
      <c r="K42" s="19">
        <f t="shared" si="11"/>
        <v>25082.268586081685</v>
      </c>
      <c r="L42" s="19">
        <f t="shared" si="11"/>
        <v>34547.687999735936</v>
      </c>
      <c r="M42" s="132">
        <f t="shared" si="12"/>
        <v>8.9856597330653765E-2</v>
      </c>
      <c r="N42" s="132">
        <f t="shared" si="12"/>
        <v>0.14273381265846918</v>
      </c>
      <c r="O42" s="19">
        <f t="shared" si="6"/>
        <v>31392.548195184518</v>
      </c>
      <c r="P42" s="132">
        <f t="shared" si="5"/>
        <v>0.12339479393959535</v>
      </c>
      <c r="Q42" s="1"/>
      <c r="S42" s="71"/>
      <c r="T42" s="71"/>
      <c r="U42" s="71"/>
      <c r="V42" s="71"/>
    </row>
    <row r="43" spans="3:22" x14ac:dyDescent="0.2">
      <c r="C43" s="128">
        <f>+IF(D43="","",MAX($C$16:C42)+1)</f>
        <v>28</v>
      </c>
      <c r="D43" s="133">
        <f>+D42</f>
        <v>8500</v>
      </c>
      <c r="E43" s="130">
        <f t="shared" si="7"/>
        <v>0.6</v>
      </c>
      <c r="F43" s="129">
        <f t="shared" si="0"/>
        <v>3735000</v>
      </c>
      <c r="G43" s="19">
        <f t="shared" si="1"/>
        <v>311342.37792085647</v>
      </c>
      <c r="H43" s="19">
        <f t="shared" si="1"/>
        <v>271586.25293376908</v>
      </c>
      <c r="I43" s="19">
        <f t="shared" si="1"/>
        <v>334764.32596973149</v>
      </c>
      <c r="J43" s="19">
        <f t="shared" si="1"/>
        <v>306690.64159620367</v>
      </c>
      <c r="K43" s="19">
        <f t="shared" si="11"/>
        <v>23421.948048875027</v>
      </c>
      <c r="L43" s="19">
        <f t="shared" si="11"/>
        <v>35104.388662434591</v>
      </c>
      <c r="M43" s="132">
        <f t="shared" si="12"/>
        <v>7.5228911031279155E-2</v>
      </c>
      <c r="N43" s="132">
        <f t="shared" si="12"/>
        <v>0.12925686879665221</v>
      </c>
      <c r="O43" s="19">
        <f t="shared" si="6"/>
        <v>31210.241791248049</v>
      </c>
      <c r="P43" s="132">
        <f t="shared" si="5"/>
        <v>0.10957178997122083</v>
      </c>
      <c r="Q43" s="1"/>
      <c r="S43" s="71"/>
      <c r="T43" s="71"/>
      <c r="U43" s="71"/>
      <c r="V43" s="71"/>
    </row>
    <row r="44" spans="3:22" x14ac:dyDescent="0.2">
      <c r="C44" s="128">
        <f>+IF(D44="","",MAX($C$16:C43)+1)</f>
        <v>29</v>
      </c>
      <c r="D44" s="133">
        <f>+D43</f>
        <v>8500</v>
      </c>
      <c r="E44" s="130">
        <f t="shared" si="7"/>
        <v>0.7</v>
      </c>
      <c r="F44" s="129">
        <f t="shared" si="0"/>
        <v>4355000</v>
      </c>
      <c r="G44" s="19">
        <f t="shared" si="1"/>
        <v>343290.47076224687</v>
      </c>
      <c r="H44" s="19">
        <f t="shared" si="1"/>
        <v>300893.38375609601</v>
      </c>
      <c r="I44" s="19">
        <f t="shared" si="1"/>
        <v>365065.38083821279</v>
      </c>
      <c r="J44" s="19">
        <f t="shared" si="1"/>
        <v>336550.01947592758</v>
      </c>
      <c r="K44" s="19">
        <f t="shared" si="11"/>
        <v>21774.91007596592</v>
      </c>
      <c r="L44" s="19">
        <f t="shared" si="11"/>
        <v>35656.635719831567</v>
      </c>
      <c r="M44" s="132">
        <f t="shared" si="12"/>
        <v>6.3429986936766936E-2</v>
      </c>
      <c r="N44" s="132">
        <f t="shared" si="12"/>
        <v>0.11850255819760669</v>
      </c>
      <c r="O44" s="19">
        <f t="shared" si="6"/>
        <v>31029.393838543019</v>
      </c>
      <c r="P44" s="132">
        <f t="shared" si="5"/>
        <v>9.8497961590518587E-2</v>
      </c>
      <c r="Q44" s="1"/>
      <c r="S44" s="71"/>
      <c r="T44" s="71"/>
      <c r="U44" s="71"/>
      <c r="V44" s="71"/>
    </row>
    <row r="45" spans="3:22" x14ac:dyDescent="0.2">
      <c r="C45" s="128">
        <f>+IF(D45="","",MAX($C$16:C44)+1)</f>
        <v>30</v>
      </c>
      <c r="D45" s="133">
        <f>+D44</f>
        <v>8500</v>
      </c>
      <c r="E45" s="130">
        <f t="shared" si="7"/>
        <v>0.79999999999999993</v>
      </c>
      <c r="F45" s="129">
        <f t="shared" si="0"/>
        <v>4980000</v>
      </c>
      <c r="G45" s="19">
        <f t="shared" si="1"/>
        <v>375496.20951364847</v>
      </c>
      <c r="H45" s="19">
        <f t="shared" si="1"/>
        <v>330436.86240763514</v>
      </c>
      <c r="I45" s="19">
        <f t="shared" si="1"/>
        <v>395610.79905240762</v>
      </c>
      <c r="J45" s="19">
        <f t="shared" si="1"/>
        <v>366650.19879016536</v>
      </c>
      <c r="K45" s="19">
        <f t="shared" si="11"/>
        <v>20114.589538759144</v>
      </c>
      <c r="L45" s="19">
        <f t="shared" si="11"/>
        <v>36213.336382530222</v>
      </c>
      <c r="M45" s="132">
        <f t="shared" si="12"/>
        <v>5.3568022869823428E-2</v>
      </c>
      <c r="N45" s="132">
        <f t="shared" si="12"/>
        <v>0.10959230189595659</v>
      </c>
      <c r="O45" s="19">
        <f t="shared" si="6"/>
        <v>30847.08743460651</v>
      </c>
      <c r="P45" s="132">
        <f t="shared" si="5"/>
        <v>8.9293657832463874E-2</v>
      </c>
      <c r="Q45" s="1"/>
      <c r="S45" s="71"/>
      <c r="T45" s="71"/>
      <c r="U45" s="71"/>
      <c r="V45" s="71"/>
    </row>
    <row r="46" spans="3:22" ht="6" customHeight="1" thickBot="1" x14ac:dyDescent="0.25"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1"/>
    </row>
    <row r="47" spans="3:22" ht="12.75" thickTop="1" x14ac:dyDescent="0.2">
      <c r="C47" s="64" t="s">
        <v>60</v>
      </c>
      <c r="Q47" s="1"/>
    </row>
    <row r="48" spans="3:22" ht="6" customHeight="1" x14ac:dyDescent="0.2">
      <c r="Q48" s="1"/>
    </row>
    <row r="51" spans="11:11" x14ac:dyDescent="0.2">
      <c r="K51" s="103"/>
    </row>
  </sheetData>
  <printOptions horizontalCentered="1"/>
  <pageMargins left="0.25" right="0.25" top="0.5" bottom="0.5" header="0.3" footer="0.3"/>
  <pageSetup scale="91" fitToHeight="0" orientation="landscape" r:id="rId1"/>
  <headerFooter scaleWithDoc="0">
    <oddFooter>&amp;R&amp;10Exhibit No. 45
Case No. IPC-E-25-16
G. Anderson, IPC
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04F6-BFD9-4A43-81B6-B772A19F0A50}">
  <sheetPr>
    <tabColor theme="3"/>
    <pageSetUpPr fitToPage="1"/>
  </sheetPr>
  <dimension ref="C3:XFD48"/>
  <sheetViews>
    <sheetView showGridLines="0" view="pageBreakPreview" topLeftCell="A7" zoomScale="110" zoomScaleNormal="100" zoomScaleSheetLayoutView="110" workbookViewId="0">
      <selection activeCell="C16" sqref="C16:P45"/>
    </sheetView>
  </sheetViews>
  <sheetFormatPr defaultColWidth="9.140625" defaultRowHeight="12" x14ac:dyDescent="0.2"/>
  <cols>
    <col min="1" max="2" width="1.7109375" style="104" customWidth="1"/>
    <col min="3" max="3" width="8.7109375" style="106" customWidth="1"/>
    <col min="4" max="5" width="8.7109375" style="104" customWidth="1"/>
    <col min="6" max="6" width="11.7109375" style="104" customWidth="1"/>
    <col min="7" max="15" width="12.7109375" style="104" customWidth="1"/>
    <col min="16" max="16" width="9.7109375" style="104" customWidth="1"/>
    <col min="17" max="17" width="1.7109375" style="1" customWidth="1"/>
    <col min="18" max="18" width="1.7109375" style="104" customWidth="1"/>
    <col min="19" max="23" width="9.140625" style="104"/>
    <col min="24" max="24" width="11.140625" style="104" customWidth="1"/>
    <col min="25" max="25" width="14.28515625" style="104" bestFit="1" customWidth="1"/>
    <col min="26" max="26" width="13.5703125" style="104" bestFit="1" customWidth="1"/>
    <col min="27" max="27" width="12.140625" style="104" bestFit="1" customWidth="1"/>
    <col min="28" max="28" width="12" style="104" bestFit="1" customWidth="1"/>
    <col min="29" max="29" width="12.140625" style="104" bestFit="1" customWidth="1"/>
    <col min="30" max="16384" width="9.140625" style="104"/>
  </cols>
  <sheetData>
    <row r="3" spans="3:23 16384:16384" x14ac:dyDescent="0.2">
      <c r="C3" s="2" t="str">
        <f>+Company</f>
        <v>Idaho Power Company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3:23 16384:16384" x14ac:dyDescent="0.2">
      <c r="C4" s="2" t="str">
        <f>+State</f>
        <v>State of Idaho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3:23 16384:16384" x14ac:dyDescent="0.2">
      <c r="C5" s="2" t="s">
        <v>70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3:23 16384:16384" x14ac:dyDescent="0.2">
      <c r="C6" s="2" t="str">
        <f>+Version</f>
        <v>Filed May 30, 2025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3:23 16384:16384" x14ac:dyDescent="0.2">
      <c r="C7" s="2" t="str">
        <f>+Docket</f>
        <v>IPC-E-25-16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3:23 16384:16384" x14ac:dyDescent="0.2">
      <c r="C8" s="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05"/>
    </row>
    <row r="9" spans="3:23 16384:16384" x14ac:dyDescent="0.2">
      <c r="C9" s="2" t="s">
        <v>71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3:23 16384:16384" x14ac:dyDescent="0.2">
      <c r="C10" s="74" t="s">
        <v>72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3:23 16384:16384" x14ac:dyDescent="0.2">
      <c r="J11" s="107"/>
      <c r="N11" s="107"/>
    </row>
    <row r="12" spans="3:23 16384:16384" x14ac:dyDescent="0.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13</v>
      </c>
      <c r="O12" s="8" t="s">
        <v>49</v>
      </c>
      <c r="P12" s="8" t="s">
        <v>50</v>
      </c>
    </row>
    <row r="13" spans="3:23 16384:16384" ht="16.5" x14ac:dyDescent="0.35">
      <c r="G13" s="121" t="s">
        <v>14</v>
      </c>
      <c r="H13" s="121"/>
      <c r="I13" s="121"/>
      <c r="J13" s="121"/>
      <c r="K13" s="118" t="s">
        <v>15</v>
      </c>
      <c r="L13" s="118"/>
      <c r="M13" s="118"/>
      <c r="N13" s="118"/>
      <c r="O13" s="118" t="s">
        <v>16</v>
      </c>
      <c r="P13" s="118"/>
      <c r="XFD13" s="12" t="s">
        <v>51</v>
      </c>
    </row>
    <row r="14" spans="3:23 16384:16384" ht="16.5" x14ac:dyDescent="0.35">
      <c r="C14" s="13" t="s">
        <v>18</v>
      </c>
      <c r="D14" s="75" t="s">
        <v>52</v>
      </c>
      <c r="E14" s="75" t="s">
        <v>53</v>
      </c>
      <c r="F14" s="108"/>
      <c r="G14" s="118" t="s">
        <v>19</v>
      </c>
      <c r="H14" s="118"/>
      <c r="I14" s="118" t="s">
        <v>20</v>
      </c>
      <c r="J14" s="118"/>
      <c r="K14" s="118" t="s">
        <v>21</v>
      </c>
      <c r="L14" s="118"/>
      <c r="M14" s="118" t="s">
        <v>22</v>
      </c>
      <c r="N14" s="118"/>
      <c r="O14" s="118" t="s">
        <v>23</v>
      </c>
      <c r="P14" s="118"/>
      <c r="Q14" s="9"/>
      <c r="XFD14" s="12" t="s">
        <v>51</v>
      </c>
    </row>
    <row r="15" spans="3:23 16384:16384" s="9" customFormat="1" ht="16.5" customHeight="1" x14ac:dyDescent="0.35">
      <c r="C15" s="10" t="s">
        <v>24</v>
      </c>
      <c r="D15" s="10" t="s">
        <v>54</v>
      </c>
      <c r="E15" s="10" t="s">
        <v>55</v>
      </c>
      <c r="F15" s="10" t="s">
        <v>25</v>
      </c>
      <c r="G15" s="10" t="s">
        <v>73</v>
      </c>
      <c r="H15" s="10" t="s">
        <v>74</v>
      </c>
      <c r="I15" s="10" t="s">
        <v>73</v>
      </c>
      <c r="J15" s="10" t="s">
        <v>74</v>
      </c>
      <c r="K15" s="10" t="s">
        <v>73</v>
      </c>
      <c r="L15" s="10" t="s">
        <v>74</v>
      </c>
      <c r="M15" s="10" t="s">
        <v>73</v>
      </c>
      <c r="N15" s="10" t="s">
        <v>74</v>
      </c>
      <c r="O15" s="10" t="s">
        <v>21</v>
      </c>
      <c r="P15" s="10" t="s">
        <v>22</v>
      </c>
      <c r="S15" s="104"/>
      <c r="T15" s="104"/>
      <c r="U15" s="104"/>
      <c r="V15" s="104"/>
      <c r="W15" s="104"/>
    </row>
    <row r="16" spans="3:23 16384:16384" x14ac:dyDescent="0.2">
      <c r="C16" s="122">
        <v>1</v>
      </c>
      <c r="D16" s="123">
        <v>10</v>
      </c>
      <c r="E16" s="124">
        <v>0.2</v>
      </c>
      <c r="F16" s="123">
        <f t="shared" ref="F16:F45" si="0">D16*E16*24*30</f>
        <v>1440</v>
      </c>
      <c r="G16" s="125">
        <f t="shared" ref="G16:G45" si="1">$X$19+(D16*$X$20)+(F16*$X$21)+($X$22*F16)</f>
        <v>273.22460172148658</v>
      </c>
      <c r="H16" s="125">
        <f t="shared" ref="H16:H45" si="2">$Y$19+(D16*$Y$20)+(F16*$Y$21)+($Y$22*F16)</f>
        <v>114.11612172148658</v>
      </c>
      <c r="I16" s="125">
        <f t="shared" ref="I16:I45" si="3">$Z$19+(D16*$Z$20)+(F16*$Z$21)</f>
        <v>329.46176000000003</v>
      </c>
      <c r="J16" s="125">
        <f t="shared" ref="J16:J45" si="4">$AA$19+(D16*$AA$20)+(F16*$AA$21)</f>
        <v>127.88352</v>
      </c>
      <c r="K16" s="125">
        <f>I16-G16</f>
        <v>56.237158278513448</v>
      </c>
      <c r="L16" s="125">
        <f>J16-H16</f>
        <v>13.767398278513426</v>
      </c>
      <c r="M16" s="126">
        <f>+I16/G16-1</f>
        <v>0.20582757893756276</v>
      </c>
      <c r="N16" s="126">
        <f>+J16/H16-1</f>
        <v>0.12064376243099395</v>
      </c>
      <c r="O16" s="125">
        <f t="shared" ref="O16:O45" si="5">(((I16*4)+(J16*4)+(U16*4))-((G16*4)+(H16*4)+(T16*4)))/12</f>
        <v>24.334852185675611</v>
      </c>
      <c r="P16" s="126">
        <f t="shared" ref="P16:P45" si="6">+O16/(((G16*4)+(H16*4)+(T16*4))/12)</f>
        <v>0.18560131765154261</v>
      </c>
      <c r="T16" s="109">
        <f t="shared" ref="T16:T45" si="7">$Y$19</f>
        <v>6</v>
      </c>
      <c r="U16" s="110">
        <f t="shared" ref="U16:U45" si="8">$AA$19</f>
        <v>9</v>
      </c>
    </row>
    <row r="17" spans="3:27" x14ac:dyDescent="0.2">
      <c r="C17" s="122">
        <v>2</v>
      </c>
      <c r="D17" s="127">
        <v>10</v>
      </c>
      <c r="E17" s="124">
        <v>0.35</v>
      </c>
      <c r="F17" s="123">
        <f t="shared" si="0"/>
        <v>2520</v>
      </c>
      <c r="G17" s="77">
        <f t="shared" si="1"/>
        <v>342.69305301260152</v>
      </c>
      <c r="H17" s="77">
        <f t="shared" si="2"/>
        <v>195.20321301260151</v>
      </c>
      <c r="I17" s="77">
        <f t="shared" si="3"/>
        <v>409.68308000000002</v>
      </c>
      <c r="J17" s="77">
        <f t="shared" si="4"/>
        <v>217.04616000000001</v>
      </c>
      <c r="K17" s="77">
        <f t="shared" ref="K17:L45" si="9">I17-G17</f>
        <v>66.990026987398494</v>
      </c>
      <c r="L17" s="77">
        <f t="shared" si="9"/>
        <v>21.842946987398506</v>
      </c>
      <c r="M17" s="126">
        <f t="shared" ref="M17:N45" si="10">+I17/G17-1</f>
        <v>0.19548113508135545</v>
      </c>
      <c r="N17" s="126">
        <f t="shared" si="10"/>
        <v>0.11189850131200663</v>
      </c>
      <c r="O17" s="77">
        <f t="shared" si="5"/>
        <v>30.610991324932343</v>
      </c>
      <c r="P17" s="126">
        <f t="shared" si="6"/>
        <v>0.16884281012979355</v>
      </c>
      <c r="T17" s="109">
        <f t="shared" si="7"/>
        <v>6</v>
      </c>
      <c r="U17" s="110">
        <f t="shared" si="8"/>
        <v>9</v>
      </c>
      <c r="X17" s="119" t="s">
        <v>75</v>
      </c>
      <c r="Y17" s="120"/>
      <c r="Z17" s="119" t="s">
        <v>76</v>
      </c>
      <c r="AA17" s="120"/>
    </row>
    <row r="18" spans="3:27" x14ac:dyDescent="0.2">
      <c r="C18" s="122">
        <v>3</v>
      </c>
      <c r="D18" s="127">
        <v>10</v>
      </c>
      <c r="E18" s="124">
        <v>0.5</v>
      </c>
      <c r="F18" s="123">
        <f t="shared" si="0"/>
        <v>3600</v>
      </c>
      <c r="G18" s="77">
        <f t="shared" si="1"/>
        <v>412.16150430371647</v>
      </c>
      <c r="H18" s="77">
        <f t="shared" si="2"/>
        <v>276.29030430371643</v>
      </c>
      <c r="I18" s="77">
        <f t="shared" si="3"/>
        <v>489.90440000000001</v>
      </c>
      <c r="J18" s="77">
        <f t="shared" si="4"/>
        <v>306.2088</v>
      </c>
      <c r="K18" s="77">
        <f t="shared" si="9"/>
        <v>77.74289569628354</v>
      </c>
      <c r="L18" s="77">
        <f t="shared" si="9"/>
        <v>29.918495696283571</v>
      </c>
      <c r="M18" s="126">
        <f t="shared" si="10"/>
        <v>0.18862240865414681</v>
      </c>
      <c r="N18" s="126">
        <f t="shared" si="10"/>
        <v>0.10828644809553367</v>
      </c>
      <c r="O18" s="77">
        <f t="shared" si="5"/>
        <v>36.887130464189035</v>
      </c>
      <c r="P18" s="126">
        <f t="shared" si="6"/>
        <v>0.15935071378743138</v>
      </c>
      <c r="T18" s="109">
        <f t="shared" si="7"/>
        <v>6</v>
      </c>
      <c r="U18" s="110">
        <f t="shared" si="8"/>
        <v>9</v>
      </c>
      <c r="X18" s="111" t="s">
        <v>77</v>
      </c>
      <c r="Y18" s="112" t="s">
        <v>78</v>
      </c>
      <c r="Z18" s="112" t="s">
        <v>77</v>
      </c>
      <c r="AA18" s="113" t="s">
        <v>78</v>
      </c>
    </row>
    <row r="19" spans="3:27" x14ac:dyDescent="0.2">
      <c r="C19" s="122">
        <v>4</v>
      </c>
      <c r="D19" s="127">
        <v>10</v>
      </c>
      <c r="E19" s="124">
        <v>0.65</v>
      </c>
      <c r="F19" s="123">
        <f t="shared" si="0"/>
        <v>4680</v>
      </c>
      <c r="G19" s="77">
        <f t="shared" si="1"/>
        <v>481.62995559483142</v>
      </c>
      <c r="H19" s="77">
        <f t="shared" si="2"/>
        <v>357.3773955948314</v>
      </c>
      <c r="I19" s="77">
        <f t="shared" si="3"/>
        <v>570.12572</v>
      </c>
      <c r="J19" s="77">
        <f t="shared" si="4"/>
        <v>395.37144000000001</v>
      </c>
      <c r="K19" s="77">
        <f t="shared" si="9"/>
        <v>88.495764405168586</v>
      </c>
      <c r="L19" s="77">
        <f t="shared" si="9"/>
        <v>37.994044405168609</v>
      </c>
      <c r="M19" s="126">
        <f t="shared" si="10"/>
        <v>0.1837422348364377</v>
      </c>
      <c r="N19" s="126">
        <f t="shared" si="10"/>
        <v>0.10631350743918766</v>
      </c>
      <c r="O19" s="77">
        <f t="shared" si="5"/>
        <v>43.163269603445734</v>
      </c>
      <c r="P19" s="126">
        <f t="shared" si="6"/>
        <v>0.15324104414953554</v>
      </c>
      <c r="T19" s="109">
        <f t="shared" si="7"/>
        <v>6</v>
      </c>
      <c r="U19" s="110">
        <f t="shared" si="8"/>
        <v>9</v>
      </c>
      <c r="W19" s="104" t="s">
        <v>29</v>
      </c>
      <c r="X19" s="109">
        <f>[1]I24S!F18</f>
        <v>30</v>
      </c>
      <c r="Y19" s="109">
        <f>[1]I24S!F19</f>
        <v>6</v>
      </c>
      <c r="Z19" s="109">
        <f>[1]I24S!H29</f>
        <v>35</v>
      </c>
      <c r="AA19" s="110">
        <f>[1]I24S!H30</f>
        <v>9</v>
      </c>
    </row>
    <row r="20" spans="3:27" x14ac:dyDescent="0.2">
      <c r="C20" s="122">
        <v>5</v>
      </c>
      <c r="D20" s="127">
        <v>10</v>
      </c>
      <c r="E20" s="124">
        <v>0.8</v>
      </c>
      <c r="F20" s="123">
        <f t="shared" si="0"/>
        <v>5760</v>
      </c>
      <c r="G20" s="77">
        <f t="shared" si="1"/>
        <v>551.09840688594647</v>
      </c>
      <c r="H20" s="77">
        <f t="shared" si="2"/>
        <v>438.46448688594631</v>
      </c>
      <c r="I20" s="77">
        <f t="shared" si="3"/>
        <v>650.34703999999999</v>
      </c>
      <c r="J20" s="77">
        <f t="shared" si="4"/>
        <v>484.53408000000002</v>
      </c>
      <c r="K20" s="77">
        <f t="shared" si="9"/>
        <v>99.248633114053519</v>
      </c>
      <c r="L20" s="77">
        <f t="shared" si="9"/>
        <v>46.069593114053703</v>
      </c>
      <c r="M20" s="126">
        <f t="shared" si="10"/>
        <v>0.18009239706365854</v>
      </c>
      <c r="N20" s="126">
        <f t="shared" si="10"/>
        <v>0.10507029529631517</v>
      </c>
      <c r="O20" s="77">
        <f t="shared" si="5"/>
        <v>49.439408742702426</v>
      </c>
      <c r="P20" s="126">
        <f t="shared" si="6"/>
        <v>0.14897926304401873</v>
      </c>
      <c r="T20" s="109">
        <f t="shared" si="7"/>
        <v>6</v>
      </c>
      <c r="U20" s="110">
        <f t="shared" si="8"/>
        <v>9</v>
      </c>
      <c r="W20" s="104" t="s">
        <v>57</v>
      </c>
      <c r="X20" s="109">
        <f>[1]I24S!F22</f>
        <v>15.06</v>
      </c>
      <c r="Y20" s="110">
        <f>[1]I24S!F23</f>
        <v>0</v>
      </c>
      <c r="Z20" s="109">
        <f>[1]I24S!H33</f>
        <v>18.75</v>
      </c>
      <c r="AA20" s="110">
        <f>[1]I24S!H34</f>
        <v>0</v>
      </c>
    </row>
    <row r="21" spans="3:27" x14ac:dyDescent="0.2">
      <c r="C21" s="128">
        <v>6</v>
      </c>
      <c r="D21" s="129">
        <v>50</v>
      </c>
      <c r="E21" s="130">
        <v>0.2</v>
      </c>
      <c r="F21" s="129">
        <f t="shared" si="0"/>
        <v>7200</v>
      </c>
      <c r="G21" s="131">
        <f t="shared" si="1"/>
        <v>1246.1230086074331</v>
      </c>
      <c r="H21" s="131">
        <f t="shared" si="2"/>
        <v>546.58060860743285</v>
      </c>
      <c r="I21" s="131">
        <f t="shared" si="3"/>
        <v>1507.3088</v>
      </c>
      <c r="J21" s="131">
        <f t="shared" si="4"/>
        <v>603.41759999999999</v>
      </c>
      <c r="K21" s="131">
        <f t="shared" si="9"/>
        <v>261.1857913925669</v>
      </c>
      <c r="L21" s="131">
        <f t="shared" si="9"/>
        <v>56.836991392567143</v>
      </c>
      <c r="M21" s="132">
        <f t="shared" si="10"/>
        <v>0.20959872307024252</v>
      </c>
      <c r="N21" s="132">
        <f t="shared" si="10"/>
        <v>0.10398647609796341</v>
      </c>
      <c r="O21" s="131">
        <f t="shared" si="5"/>
        <v>107.00759426171135</v>
      </c>
      <c r="P21" s="132">
        <f t="shared" si="6"/>
        <v>0.17847453005193237</v>
      </c>
      <c r="T21" s="109">
        <f t="shared" si="7"/>
        <v>6</v>
      </c>
      <c r="U21" s="110">
        <f t="shared" si="8"/>
        <v>9</v>
      </c>
      <c r="W21" s="104" t="s">
        <v>58</v>
      </c>
      <c r="X21" s="114">
        <f>[1]I24S!F25</f>
        <v>6.1295000000000002E-2</v>
      </c>
      <c r="Y21" s="114">
        <f>[1]I24S!F26</f>
        <v>7.2052999999999992E-2</v>
      </c>
      <c r="Z21" s="114">
        <f>[1]I24S!H36</f>
        <v>7.4278999999999998E-2</v>
      </c>
      <c r="AA21" s="114">
        <f>[1]I24S!H37</f>
        <v>8.2558000000000006E-2</v>
      </c>
    </row>
    <row r="22" spans="3:27" x14ac:dyDescent="0.2">
      <c r="C22" s="128">
        <v>7</v>
      </c>
      <c r="D22" s="133">
        <v>50</v>
      </c>
      <c r="E22" s="130">
        <v>0.35</v>
      </c>
      <c r="F22" s="129">
        <f t="shared" si="0"/>
        <v>12600</v>
      </c>
      <c r="G22" s="19">
        <f t="shared" si="1"/>
        <v>1593.4652650630078</v>
      </c>
      <c r="H22" s="19">
        <f t="shared" si="2"/>
        <v>952.01606506300755</v>
      </c>
      <c r="I22" s="19">
        <f t="shared" si="3"/>
        <v>1908.4153999999999</v>
      </c>
      <c r="J22" s="19">
        <f t="shared" si="4"/>
        <v>1049.2308</v>
      </c>
      <c r="K22" s="19">
        <f t="shared" si="9"/>
        <v>314.95013493699207</v>
      </c>
      <c r="L22" s="19">
        <f t="shared" si="9"/>
        <v>97.2147349369925</v>
      </c>
      <c r="M22" s="132">
        <f t="shared" si="10"/>
        <v>0.19765108273291321</v>
      </c>
      <c r="N22" s="132">
        <f t="shared" si="10"/>
        <v>0.10211459502057729</v>
      </c>
      <c r="O22" s="19">
        <f t="shared" si="5"/>
        <v>138.38828995799486</v>
      </c>
      <c r="P22" s="132">
        <f t="shared" si="6"/>
        <v>0.1627152293736282</v>
      </c>
      <c r="T22" s="109">
        <f t="shared" si="7"/>
        <v>6</v>
      </c>
      <c r="U22" s="110">
        <f t="shared" si="8"/>
        <v>9</v>
      </c>
      <c r="W22" s="104" t="s">
        <v>79</v>
      </c>
      <c r="X22" s="115">
        <f>[1]I24S!G39/[1]I24S!E27</f>
        <v>3.0276400843656892E-3</v>
      </c>
      <c r="Y22" s="115">
        <f>X22</f>
        <v>3.0276400843656892E-3</v>
      </c>
      <c r="Z22" s="114">
        <v>0</v>
      </c>
      <c r="AA22" s="114">
        <v>0</v>
      </c>
    </row>
    <row r="23" spans="3:27" x14ac:dyDescent="0.2">
      <c r="C23" s="128">
        <v>8</v>
      </c>
      <c r="D23" s="133">
        <v>50</v>
      </c>
      <c r="E23" s="130">
        <v>0.5</v>
      </c>
      <c r="F23" s="129">
        <f t="shared" si="0"/>
        <v>18000</v>
      </c>
      <c r="G23" s="19">
        <f t="shared" si="1"/>
        <v>1940.8075215185822</v>
      </c>
      <c r="H23" s="19">
        <f t="shared" si="2"/>
        <v>1357.4515215185825</v>
      </c>
      <c r="I23" s="19">
        <f t="shared" si="3"/>
        <v>2309.5219999999999</v>
      </c>
      <c r="J23" s="19">
        <f t="shared" si="4"/>
        <v>1495.0440000000001</v>
      </c>
      <c r="K23" s="19">
        <f t="shared" si="9"/>
        <v>368.7144784814177</v>
      </c>
      <c r="L23" s="19">
        <f t="shared" si="9"/>
        <v>137.59247848141763</v>
      </c>
      <c r="M23" s="132">
        <f t="shared" si="10"/>
        <v>0.18997993072126884</v>
      </c>
      <c r="N23" s="132">
        <f t="shared" si="10"/>
        <v>0.10136087830782547</v>
      </c>
      <c r="O23" s="19">
        <f t="shared" si="5"/>
        <v>169.76898565427837</v>
      </c>
      <c r="P23" s="132">
        <f t="shared" si="6"/>
        <v>0.15413650997976755</v>
      </c>
      <c r="T23" s="109">
        <f t="shared" si="7"/>
        <v>6</v>
      </c>
      <c r="U23" s="110">
        <f t="shared" si="8"/>
        <v>9</v>
      </c>
    </row>
    <row r="24" spans="3:27" x14ac:dyDescent="0.2">
      <c r="C24" s="128">
        <v>9</v>
      </c>
      <c r="D24" s="133">
        <v>50</v>
      </c>
      <c r="E24" s="130">
        <v>0.65</v>
      </c>
      <c r="F24" s="129">
        <f t="shared" si="0"/>
        <v>23400</v>
      </c>
      <c r="G24" s="19">
        <f t="shared" si="1"/>
        <v>2288.1497779741571</v>
      </c>
      <c r="H24" s="19">
        <f t="shared" si="2"/>
        <v>1762.8869779741569</v>
      </c>
      <c r="I24" s="19">
        <f t="shared" si="3"/>
        <v>2710.6286</v>
      </c>
      <c r="J24" s="19">
        <f t="shared" si="4"/>
        <v>1940.8572000000001</v>
      </c>
      <c r="K24" s="19">
        <f t="shared" si="9"/>
        <v>422.47882202584287</v>
      </c>
      <c r="L24" s="19">
        <f t="shared" si="9"/>
        <v>177.97022202584321</v>
      </c>
      <c r="M24" s="132">
        <f t="shared" si="10"/>
        <v>0.1846377479711534</v>
      </c>
      <c r="N24" s="132">
        <f t="shared" si="10"/>
        <v>0.10095384687131781</v>
      </c>
      <c r="O24" s="19">
        <f t="shared" si="5"/>
        <v>201.14968135056219</v>
      </c>
      <c r="P24" s="132">
        <f t="shared" si="6"/>
        <v>0.14874133027435021</v>
      </c>
      <c r="T24" s="109">
        <f t="shared" si="7"/>
        <v>6</v>
      </c>
      <c r="U24" s="110">
        <f t="shared" si="8"/>
        <v>9</v>
      </c>
    </row>
    <row r="25" spans="3:27" x14ac:dyDescent="0.2">
      <c r="C25" s="128">
        <v>10</v>
      </c>
      <c r="D25" s="133">
        <v>50</v>
      </c>
      <c r="E25" s="130">
        <v>0.8</v>
      </c>
      <c r="F25" s="129">
        <f t="shared" si="0"/>
        <v>28800</v>
      </c>
      <c r="G25" s="19">
        <f t="shared" si="1"/>
        <v>2635.492034429732</v>
      </c>
      <c r="H25" s="19">
        <f t="shared" si="2"/>
        <v>2168.3224344297314</v>
      </c>
      <c r="I25" s="19">
        <f t="shared" si="3"/>
        <v>3111.7352000000001</v>
      </c>
      <c r="J25" s="19">
        <f t="shared" si="4"/>
        <v>2386.6704</v>
      </c>
      <c r="K25" s="19">
        <f t="shared" si="9"/>
        <v>476.24316557026805</v>
      </c>
      <c r="L25" s="19">
        <f t="shared" si="9"/>
        <v>218.34796557026857</v>
      </c>
      <c r="M25" s="132">
        <f t="shared" si="10"/>
        <v>0.18070370137670233</v>
      </c>
      <c r="N25" s="132">
        <f t="shared" si="10"/>
        <v>0.10069902985977919</v>
      </c>
      <c r="O25" s="19">
        <f t="shared" si="5"/>
        <v>232.53037704684539</v>
      </c>
      <c r="P25" s="132">
        <f t="shared" si="6"/>
        <v>0.1450349354755785</v>
      </c>
      <c r="T25" s="109">
        <f t="shared" si="7"/>
        <v>6</v>
      </c>
      <c r="U25" s="110">
        <f t="shared" si="8"/>
        <v>9</v>
      </c>
    </row>
    <row r="26" spans="3:27" x14ac:dyDescent="0.2">
      <c r="C26" s="122">
        <v>11</v>
      </c>
      <c r="D26" s="123">
        <v>100</v>
      </c>
      <c r="E26" s="124">
        <v>0.2</v>
      </c>
      <c r="F26" s="123">
        <f t="shared" si="0"/>
        <v>14400</v>
      </c>
      <c r="G26" s="125">
        <f t="shared" si="1"/>
        <v>2462.2460172148662</v>
      </c>
      <c r="H26" s="125">
        <f t="shared" si="2"/>
        <v>1087.1612172148657</v>
      </c>
      <c r="I26" s="125">
        <f t="shared" si="3"/>
        <v>2979.6176</v>
      </c>
      <c r="J26" s="125">
        <f t="shared" si="4"/>
        <v>1197.8352</v>
      </c>
      <c r="K26" s="125">
        <f t="shared" si="9"/>
        <v>517.3715827851338</v>
      </c>
      <c r="L26" s="125">
        <f t="shared" si="9"/>
        <v>110.67398278513429</v>
      </c>
      <c r="M26" s="126">
        <f t="shared" si="10"/>
        <v>0.21012180715002282</v>
      </c>
      <c r="N26" s="126">
        <f t="shared" si="10"/>
        <v>0.10180089303467188</v>
      </c>
      <c r="O26" s="125">
        <f t="shared" si="5"/>
        <v>210.34852185675604</v>
      </c>
      <c r="P26" s="126">
        <f t="shared" si="6"/>
        <v>0.17748896932519304</v>
      </c>
      <c r="T26" s="109">
        <f t="shared" si="7"/>
        <v>6</v>
      </c>
      <c r="U26" s="110">
        <f t="shared" si="8"/>
        <v>9</v>
      </c>
    </row>
    <row r="27" spans="3:27" x14ac:dyDescent="0.2">
      <c r="C27" s="122">
        <v>12</v>
      </c>
      <c r="D27" s="127">
        <v>100</v>
      </c>
      <c r="E27" s="124">
        <v>0.35</v>
      </c>
      <c r="F27" s="123">
        <f t="shared" si="0"/>
        <v>25200</v>
      </c>
      <c r="G27" s="77">
        <f t="shared" si="1"/>
        <v>3156.9305301260156</v>
      </c>
      <c r="H27" s="77">
        <f t="shared" si="2"/>
        <v>1898.0321301260151</v>
      </c>
      <c r="I27" s="77">
        <f t="shared" si="3"/>
        <v>3781.8307999999997</v>
      </c>
      <c r="J27" s="77">
        <f t="shared" si="4"/>
        <v>2089.4616000000001</v>
      </c>
      <c r="K27" s="77">
        <f t="shared" si="9"/>
        <v>624.90026987398414</v>
      </c>
      <c r="L27" s="77">
        <f t="shared" si="9"/>
        <v>191.429469873985</v>
      </c>
      <c r="M27" s="126">
        <f t="shared" si="10"/>
        <v>0.19794552458810033</v>
      </c>
      <c r="N27" s="126">
        <f t="shared" si="10"/>
        <v>0.10085681208214092</v>
      </c>
      <c r="O27" s="77">
        <f t="shared" si="5"/>
        <v>273.10991324932303</v>
      </c>
      <c r="P27" s="126">
        <f t="shared" si="6"/>
        <v>0.16189207365287442</v>
      </c>
      <c r="T27" s="109">
        <f t="shared" si="7"/>
        <v>6</v>
      </c>
      <c r="U27" s="110">
        <f t="shared" si="8"/>
        <v>9</v>
      </c>
    </row>
    <row r="28" spans="3:27" x14ac:dyDescent="0.2">
      <c r="C28" s="122">
        <v>13</v>
      </c>
      <c r="D28" s="127">
        <v>100</v>
      </c>
      <c r="E28" s="124">
        <v>0.5</v>
      </c>
      <c r="F28" s="123">
        <f t="shared" si="0"/>
        <v>36000</v>
      </c>
      <c r="G28" s="77">
        <f t="shared" si="1"/>
        <v>3851.6150430371645</v>
      </c>
      <c r="H28" s="77">
        <f t="shared" si="2"/>
        <v>2708.9030430371649</v>
      </c>
      <c r="I28" s="77">
        <f t="shared" si="3"/>
        <v>4584.0439999999999</v>
      </c>
      <c r="J28" s="77">
        <f t="shared" si="4"/>
        <v>2981.0880000000002</v>
      </c>
      <c r="K28" s="77">
        <f t="shared" si="9"/>
        <v>732.4289569628354</v>
      </c>
      <c r="L28" s="77">
        <f t="shared" si="9"/>
        <v>272.18495696283526</v>
      </c>
      <c r="M28" s="126">
        <f t="shared" si="10"/>
        <v>0.1901615163454351</v>
      </c>
      <c r="N28" s="126">
        <f t="shared" si="10"/>
        <v>0.10047792506359587</v>
      </c>
      <c r="O28" s="77">
        <f t="shared" si="5"/>
        <v>335.87130464189005</v>
      </c>
      <c r="P28" s="126">
        <f t="shared" si="6"/>
        <v>0.15344721520870025</v>
      </c>
      <c r="T28" s="109">
        <f t="shared" si="7"/>
        <v>6</v>
      </c>
      <c r="U28" s="110">
        <f t="shared" si="8"/>
        <v>9</v>
      </c>
    </row>
    <row r="29" spans="3:27" x14ac:dyDescent="0.2">
      <c r="C29" s="122">
        <v>14</v>
      </c>
      <c r="D29" s="127">
        <v>100</v>
      </c>
      <c r="E29" s="124">
        <v>0.65</v>
      </c>
      <c r="F29" s="123">
        <f t="shared" si="0"/>
        <v>46800</v>
      </c>
      <c r="G29" s="77">
        <f t="shared" si="1"/>
        <v>4546.2995559483143</v>
      </c>
      <c r="H29" s="77">
        <f t="shared" si="2"/>
        <v>3519.7739559483139</v>
      </c>
      <c r="I29" s="77">
        <f t="shared" si="3"/>
        <v>5386.2572</v>
      </c>
      <c r="J29" s="77">
        <f t="shared" si="4"/>
        <v>3872.7144000000003</v>
      </c>
      <c r="K29" s="77">
        <f t="shared" si="9"/>
        <v>839.95764405168575</v>
      </c>
      <c r="L29" s="77">
        <f t="shared" si="9"/>
        <v>352.94044405168643</v>
      </c>
      <c r="M29" s="126">
        <f t="shared" si="10"/>
        <v>0.18475633506214906</v>
      </c>
      <c r="N29" s="126">
        <f t="shared" si="10"/>
        <v>0.10027361088209297</v>
      </c>
      <c r="O29" s="77">
        <f t="shared" si="5"/>
        <v>398.63269603445769</v>
      </c>
      <c r="P29" s="126">
        <f t="shared" si="6"/>
        <v>0.14815252689917374</v>
      </c>
      <c r="T29" s="109">
        <f t="shared" si="7"/>
        <v>6</v>
      </c>
      <c r="U29" s="110">
        <f t="shared" si="8"/>
        <v>9</v>
      </c>
    </row>
    <row r="30" spans="3:27" x14ac:dyDescent="0.2">
      <c r="C30" s="122">
        <v>15</v>
      </c>
      <c r="D30" s="127">
        <v>100</v>
      </c>
      <c r="E30" s="124">
        <v>0.8</v>
      </c>
      <c r="F30" s="123">
        <f t="shared" si="0"/>
        <v>57600</v>
      </c>
      <c r="G30" s="77">
        <f t="shared" si="1"/>
        <v>5240.9840688594641</v>
      </c>
      <c r="H30" s="77">
        <f t="shared" si="2"/>
        <v>4330.6448688594628</v>
      </c>
      <c r="I30" s="77">
        <f t="shared" si="3"/>
        <v>6188.4704000000002</v>
      </c>
      <c r="J30" s="77">
        <f t="shared" si="4"/>
        <v>4764.3407999999999</v>
      </c>
      <c r="K30" s="77">
        <f t="shared" si="9"/>
        <v>947.48633114053609</v>
      </c>
      <c r="L30" s="77">
        <f t="shared" si="9"/>
        <v>433.69593114053714</v>
      </c>
      <c r="M30" s="126">
        <f t="shared" si="10"/>
        <v>0.18078405098963146</v>
      </c>
      <c r="N30" s="126">
        <f t="shared" si="10"/>
        <v>0.1001458083665856</v>
      </c>
      <c r="O30" s="77">
        <f t="shared" si="5"/>
        <v>461.39408742702409</v>
      </c>
      <c r="P30" s="126">
        <f t="shared" si="6"/>
        <v>0.14452243569698561</v>
      </c>
      <c r="T30" s="109">
        <f t="shared" si="7"/>
        <v>6</v>
      </c>
      <c r="U30" s="110">
        <f t="shared" si="8"/>
        <v>9</v>
      </c>
    </row>
    <row r="31" spans="3:27" x14ac:dyDescent="0.2">
      <c r="C31" s="128">
        <v>16</v>
      </c>
      <c r="D31" s="129">
        <v>300</v>
      </c>
      <c r="E31" s="130">
        <v>0.2</v>
      </c>
      <c r="F31" s="129">
        <f t="shared" si="0"/>
        <v>43200</v>
      </c>
      <c r="G31" s="131">
        <f t="shared" si="1"/>
        <v>7326.7380516445974</v>
      </c>
      <c r="H31" s="131">
        <f t="shared" si="2"/>
        <v>3249.4836516445976</v>
      </c>
      <c r="I31" s="131">
        <f t="shared" si="3"/>
        <v>8868.8528000000006</v>
      </c>
      <c r="J31" s="131">
        <f t="shared" si="4"/>
        <v>3575.5056000000004</v>
      </c>
      <c r="K31" s="131">
        <f t="shared" si="9"/>
        <v>1542.1147483554032</v>
      </c>
      <c r="L31" s="131">
        <f t="shared" si="9"/>
        <v>326.02194835540286</v>
      </c>
      <c r="M31" s="132">
        <f t="shared" si="10"/>
        <v>0.21047766925545419</v>
      </c>
      <c r="N31" s="132">
        <f t="shared" si="10"/>
        <v>0.10033038578002995</v>
      </c>
      <c r="O31" s="131">
        <f t="shared" si="5"/>
        <v>623.71223223693539</v>
      </c>
      <c r="P31" s="132">
        <f t="shared" si="6"/>
        <v>0.17681889013242036</v>
      </c>
      <c r="T31" s="109">
        <f t="shared" si="7"/>
        <v>6</v>
      </c>
      <c r="U31" s="110">
        <f t="shared" si="8"/>
        <v>9</v>
      </c>
    </row>
    <row r="32" spans="3:27" x14ac:dyDescent="0.2">
      <c r="C32" s="128">
        <v>17</v>
      </c>
      <c r="D32" s="133">
        <v>300</v>
      </c>
      <c r="E32" s="130">
        <v>0.35</v>
      </c>
      <c r="F32" s="129">
        <f t="shared" si="0"/>
        <v>75600</v>
      </c>
      <c r="G32" s="19">
        <f t="shared" si="1"/>
        <v>9410.7915903780467</v>
      </c>
      <c r="H32" s="19">
        <f t="shared" si="2"/>
        <v>5682.0963903780448</v>
      </c>
      <c r="I32" s="19">
        <f t="shared" si="3"/>
        <v>11275.492399999999</v>
      </c>
      <c r="J32" s="19">
        <f t="shared" si="4"/>
        <v>6250.3848000000007</v>
      </c>
      <c r="K32" s="19">
        <f t="shared" si="9"/>
        <v>1864.7008096219524</v>
      </c>
      <c r="L32" s="19">
        <f t="shared" si="9"/>
        <v>568.28840962195591</v>
      </c>
      <c r="M32" s="132">
        <f t="shared" si="10"/>
        <v>0.198144947926431</v>
      </c>
      <c r="N32" s="132">
        <f t="shared" si="10"/>
        <v>0.10001386294401571</v>
      </c>
      <c r="O32" s="19">
        <f t="shared" si="5"/>
        <v>811.99640641463577</v>
      </c>
      <c r="P32" s="132">
        <f t="shared" si="6"/>
        <v>0.16133567070294424</v>
      </c>
      <c r="T32" s="109">
        <f t="shared" si="7"/>
        <v>6</v>
      </c>
      <c r="U32" s="110">
        <f t="shared" si="8"/>
        <v>9</v>
      </c>
    </row>
    <row r="33" spans="3:21" x14ac:dyDescent="0.2">
      <c r="C33" s="128">
        <v>18</v>
      </c>
      <c r="D33" s="133">
        <v>300</v>
      </c>
      <c r="E33" s="130">
        <v>0.5</v>
      </c>
      <c r="F33" s="129">
        <f t="shared" si="0"/>
        <v>108000</v>
      </c>
      <c r="G33" s="19">
        <f t="shared" si="1"/>
        <v>11494.845129111494</v>
      </c>
      <c r="H33" s="19">
        <f t="shared" si="2"/>
        <v>8114.7091291114939</v>
      </c>
      <c r="I33" s="19">
        <f t="shared" si="3"/>
        <v>13682.132</v>
      </c>
      <c r="J33" s="19">
        <f t="shared" si="4"/>
        <v>8925.264000000001</v>
      </c>
      <c r="K33" s="19">
        <f t="shared" si="9"/>
        <v>2187.2868708885053</v>
      </c>
      <c r="L33" s="19">
        <f t="shared" si="9"/>
        <v>810.55487088850714</v>
      </c>
      <c r="M33" s="132">
        <f t="shared" si="10"/>
        <v>0.19028415314174607</v>
      </c>
      <c r="N33" s="132">
        <f t="shared" si="10"/>
        <v>9.9887113387791659E-2</v>
      </c>
      <c r="O33" s="19">
        <f t="shared" si="5"/>
        <v>1000.2805805923368</v>
      </c>
      <c r="P33" s="132">
        <f t="shared" si="6"/>
        <v>0.15298276573138558</v>
      </c>
      <c r="T33" s="109">
        <f t="shared" si="7"/>
        <v>6</v>
      </c>
      <c r="U33" s="110">
        <f t="shared" si="8"/>
        <v>9</v>
      </c>
    </row>
    <row r="34" spans="3:21" x14ac:dyDescent="0.2">
      <c r="C34" s="128">
        <v>19</v>
      </c>
      <c r="D34" s="133">
        <v>300</v>
      </c>
      <c r="E34" s="130">
        <v>0.65</v>
      </c>
      <c r="F34" s="129">
        <f t="shared" si="0"/>
        <v>140400</v>
      </c>
      <c r="G34" s="19">
        <f t="shared" si="1"/>
        <v>13578.898667844944</v>
      </c>
      <c r="H34" s="19">
        <f t="shared" si="2"/>
        <v>10547.321867844941</v>
      </c>
      <c r="I34" s="19">
        <f t="shared" si="3"/>
        <v>16088.7716</v>
      </c>
      <c r="J34" s="19">
        <f t="shared" si="4"/>
        <v>11600.1432</v>
      </c>
      <c r="K34" s="19">
        <f t="shared" si="9"/>
        <v>2509.8729321550563</v>
      </c>
      <c r="L34" s="19">
        <f t="shared" si="9"/>
        <v>1052.8213321550593</v>
      </c>
      <c r="M34" s="132">
        <f t="shared" si="10"/>
        <v>0.18483626644173112</v>
      </c>
      <c r="N34" s="132">
        <f t="shared" si="10"/>
        <v>9.9818830348274545E-2</v>
      </c>
      <c r="O34" s="19">
        <f t="shared" si="5"/>
        <v>1188.564754770038</v>
      </c>
      <c r="P34" s="132">
        <f t="shared" si="6"/>
        <v>0.14775657544802803</v>
      </c>
      <c r="T34" s="109">
        <f t="shared" si="7"/>
        <v>6</v>
      </c>
      <c r="U34" s="110">
        <f t="shared" si="8"/>
        <v>9</v>
      </c>
    </row>
    <row r="35" spans="3:21" x14ac:dyDescent="0.2">
      <c r="C35" s="128">
        <v>20</v>
      </c>
      <c r="D35" s="133">
        <v>300</v>
      </c>
      <c r="E35" s="130">
        <v>0.8</v>
      </c>
      <c r="F35" s="129">
        <f t="shared" si="0"/>
        <v>172800</v>
      </c>
      <c r="G35" s="19">
        <f t="shared" si="1"/>
        <v>15662.952206578391</v>
      </c>
      <c r="H35" s="19">
        <f t="shared" si="2"/>
        <v>12979.93460657839</v>
      </c>
      <c r="I35" s="19">
        <f t="shared" si="3"/>
        <v>18495.411200000002</v>
      </c>
      <c r="J35" s="19">
        <f t="shared" si="4"/>
        <v>14275.022400000002</v>
      </c>
      <c r="K35" s="19">
        <f t="shared" si="9"/>
        <v>2832.458993421611</v>
      </c>
      <c r="L35" s="19">
        <f t="shared" si="9"/>
        <v>1295.0877934216114</v>
      </c>
      <c r="M35" s="132">
        <f t="shared" si="10"/>
        <v>0.18083813038974772</v>
      </c>
      <c r="N35" s="132">
        <f t="shared" si="10"/>
        <v>9.9776141612088365E-2</v>
      </c>
      <c r="O35" s="19">
        <f t="shared" si="5"/>
        <v>1376.8489289477413</v>
      </c>
      <c r="P35" s="132">
        <f t="shared" si="6"/>
        <v>0.14417826471869416</v>
      </c>
      <c r="T35" s="109">
        <f t="shared" si="7"/>
        <v>6</v>
      </c>
      <c r="U35" s="110">
        <f t="shared" si="8"/>
        <v>9</v>
      </c>
    </row>
    <row r="36" spans="3:21" x14ac:dyDescent="0.2">
      <c r="C36" s="122">
        <v>21</v>
      </c>
      <c r="D36" s="123">
        <v>500</v>
      </c>
      <c r="E36" s="124">
        <v>0.2</v>
      </c>
      <c r="F36" s="123">
        <f t="shared" si="0"/>
        <v>72000</v>
      </c>
      <c r="G36" s="125">
        <f t="shared" si="1"/>
        <v>12191.230086074329</v>
      </c>
      <c r="H36" s="125">
        <f t="shared" si="2"/>
        <v>5411.8060860743299</v>
      </c>
      <c r="I36" s="125">
        <f t="shared" si="3"/>
        <v>14758.088</v>
      </c>
      <c r="J36" s="125">
        <f t="shared" si="4"/>
        <v>5953.1760000000004</v>
      </c>
      <c r="K36" s="125">
        <f t="shared" si="9"/>
        <v>2566.8579139256708</v>
      </c>
      <c r="L36" s="125">
        <f t="shared" si="9"/>
        <v>541.36991392567052</v>
      </c>
      <c r="M36" s="126">
        <f t="shared" si="10"/>
        <v>0.21054954223673583</v>
      </c>
      <c r="N36" s="126">
        <f t="shared" si="10"/>
        <v>0.10003498006307443</v>
      </c>
      <c r="O36" s="125">
        <f t="shared" si="5"/>
        <v>1037.0759426171135</v>
      </c>
      <c r="P36" s="126">
        <f t="shared" si="6"/>
        <v>0.17668359570822026</v>
      </c>
      <c r="T36" s="109">
        <f t="shared" si="7"/>
        <v>6</v>
      </c>
      <c r="U36" s="110">
        <f t="shared" si="8"/>
        <v>9</v>
      </c>
    </row>
    <row r="37" spans="3:21" x14ac:dyDescent="0.2">
      <c r="C37" s="122">
        <v>22</v>
      </c>
      <c r="D37" s="127">
        <v>500</v>
      </c>
      <c r="E37" s="124">
        <v>0.35</v>
      </c>
      <c r="F37" s="123">
        <f t="shared" si="0"/>
        <v>126000</v>
      </c>
      <c r="G37" s="77">
        <f t="shared" si="1"/>
        <v>15664.652650630076</v>
      </c>
      <c r="H37" s="77">
        <f t="shared" si="2"/>
        <v>9466.1606506300759</v>
      </c>
      <c r="I37" s="77">
        <f t="shared" si="3"/>
        <v>18769.154000000002</v>
      </c>
      <c r="J37" s="77">
        <f t="shared" si="4"/>
        <v>10411.308000000001</v>
      </c>
      <c r="K37" s="77">
        <f t="shared" si="9"/>
        <v>3104.5013493699262</v>
      </c>
      <c r="L37" s="77">
        <f t="shared" si="9"/>
        <v>945.147349369925</v>
      </c>
      <c r="M37" s="126">
        <f t="shared" si="10"/>
        <v>0.19818513813295779</v>
      </c>
      <c r="N37" s="126">
        <f t="shared" si="10"/>
        <v>9.9844845682712569E-2</v>
      </c>
      <c r="O37" s="77">
        <f t="shared" si="5"/>
        <v>1350.8828995799497</v>
      </c>
      <c r="P37" s="126">
        <f t="shared" si="6"/>
        <v>0.16122364637750969</v>
      </c>
      <c r="T37" s="109">
        <f t="shared" si="7"/>
        <v>6</v>
      </c>
      <c r="U37" s="110">
        <f t="shared" si="8"/>
        <v>9</v>
      </c>
    </row>
    <row r="38" spans="3:21" x14ac:dyDescent="0.2">
      <c r="C38" s="122">
        <v>23</v>
      </c>
      <c r="D38" s="127">
        <v>500</v>
      </c>
      <c r="E38" s="124">
        <v>0.5</v>
      </c>
      <c r="F38" s="123">
        <f t="shared" si="0"/>
        <v>180000</v>
      </c>
      <c r="G38" s="77">
        <f t="shared" si="1"/>
        <v>19138.075215185821</v>
      </c>
      <c r="H38" s="77">
        <f t="shared" si="2"/>
        <v>13520.515215185824</v>
      </c>
      <c r="I38" s="77">
        <f t="shared" si="3"/>
        <v>22780.22</v>
      </c>
      <c r="J38" s="77">
        <f t="shared" si="4"/>
        <v>14869.44</v>
      </c>
      <c r="K38" s="77">
        <f t="shared" si="9"/>
        <v>3642.1447848141797</v>
      </c>
      <c r="L38" s="77">
        <f t="shared" si="9"/>
        <v>1348.9247848141767</v>
      </c>
      <c r="M38" s="126">
        <f t="shared" si="10"/>
        <v>0.19030883429302148</v>
      </c>
      <c r="N38" s="126">
        <f t="shared" si="10"/>
        <v>9.976874130499902E-2</v>
      </c>
      <c r="O38" s="77">
        <f t="shared" si="5"/>
        <v>1664.6898565427862</v>
      </c>
      <c r="P38" s="126">
        <f t="shared" si="6"/>
        <v>0.15288939808609558</v>
      </c>
      <c r="T38" s="109">
        <f t="shared" si="7"/>
        <v>6</v>
      </c>
      <c r="U38" s="110">
        <f t="shared" si="8"/>
        <v>9</v>
      </c>
    </row>
    <row r="39" spans="3:21" x14ac:dyDescent="0.2">
      <c r="C39" s="122">
        <v>24</v>
      </c>
      <c r="D39" s="127">
        <v>500</v>
      </c>
      <c r="E39" s="124">
        <v>0.65</v>
      </c>
      <c r="F39" s="123">
        <f t="shared" si="0"/>
        <v>234000</v>
      </c>
      <c r="G39" s="77">
        <f t="shared" si="1"/>
        <v>22611.49777974157</v>
      </c>
      <c r="H39" s="77">
        <f t="shared" si="2"/>
        <v>17574.86977974157</v>
      </c>
      <c r="I39" s="77">
        <f t="shared" si="3"/>
        <v>26791.286</v>
      </c>
      <c r="J39" s="77">
        <f t="shared" si="4"/>
        <v>19327.572</v>
      </c>
      <c r="K39" s="77">
        <f t="shared" si="9"/>
        <v>4179.7882202584296</v>
      </c>
      <c r="L39" s="77">
        <f t="shared" si="9"/>
        <v>1752.7022202584303</v>
      </c>
      <c r="M39" s="126">
        <f t="shared" si="10"/>
        <v>0.1848523375573663</v>
      </c>
      <c r="N39" s="126">
        <f t="shared" si="10"/>
        <v>9.9727750033104634E-2</v>
      </c>
      <c r="O39" s="77">
        <f t="shared" si="5"/>
        <v>1978.4968135056188</v>
      </c>
      <c r="P39" s="126">
        <f t="shared" si="6"/>
        <v>0.14767705415045682</v>
      </c>
      <c r="T39" s="109">
        <f t="shared" si="7"/>
        <v>6</v>
      </c>
      <c r="U39" s="110">
        <f t="shared" si="8"/>
        <v>9</v>
      </c>
    </row>
    <row r="40" spans="3:21" x14ac:dyDescent="0.2">
      <c r="C40" s="122">
        <v>25</v>
      </c>
      <c r="D40" s="127">
        <v>500</v>
      </c>
      <c r="E40" s="124">
        <v>0.8</v>
      </c>
      <c r="F40" s="123">
        <f t="shared" si="0"/>
        <v>288000</v>
      </c>
      <c r="G40" s="77">
        <f t="shared" si="1"/>
        <v>26084.920344297316</v>
      </c>
      <c r="H40" s="77">
        <f t="shared" si="2"/>
        <v>21629.224344297319</v>
      </c>
      <c r="I40" s="77">
        <f t="shared" si="3"/>
        <v>30802.351999999999</v>
      </c>
      <c r="J40" s="77">
        <f t="shared" si="4"/>
        <v>23785.704000000002</v>
      </c>
      <c r="K40" s="77">
        <f t="shared" si="9"/>
        <v>4717.4316557026832</v>
      </c>
      <c r="L40" s="77">
        <f t="shared" si="9"/>
        <v>2156.4796557026821</v>
      </c>
      <c r="M40" s="126">
        <f t="shared" si="10"/>
        <v>0.18084899602670279</v>
      </c>
      <c r="N40" s="126">
        <f t="shared" si="10"/>
        <v>9.9702126224015641E-2</v>
      </c>
      <c r="O40" s="77">
        <f t="shared" si="5"/>
        <v>2292.3037704684539</v>
      </c>
      <c r="P40" s="126">
        <f t="shared" si="6"/>
        <v>0.14410918819047461</v>
      </c>
      <c r="T40" s="109">
        <f t="shared" si="7"/>
        <v>6</v>
      </c>
      <c r="U40" s="110">
        <f t="shared" si="8"/>
        <v>9</v>
      </c>
    </row>
    <row r="41" spans="3:21" x14ac:dyDescent="0.2">
      <c r="C41" s="128">
        <v>26</v>
      </c>
      <c r="D41" s="129">
        <v>750</v>
      </c>
      <c r="E41" s="130">
        <v>0.2</v>
      </c>
      <c r="F41" s="129">
        <f t="shared" si="0"/>
        <v>108000</v>
      </c>
      <c r="G41" s="131">
        <f t="shared" si="1"/>
        <v>18271.845129111494</v>
      </c>
      <c r="H41" s="131">
        <f t="shared" si="2"/>
        <v>8114.7091291114939</v>
      </c>
      <c r="I41" s="131">
        <f t="shared" si="3"/>
        <v>22119.631999999998</v>
      </c>
      <c r="J41" s="131">
        <f t="shared" si="4"/>
        <v>8925.264000000001</v>
      </c>
      <c r="K41" s="131">
        <f t="shared" si="9"/>
        <v>3847.7868708885035</v>
      </c>
      <c r="L41" s="131">
        <f t="shared" si="9"/>
        <v>810.55487088850714</v>
      </c>
      <c r="M41" s="132">
        <f t="shared" si="10"/>
        <v>0.21058556723196187</v>
      </c>
      <c r="N41" s="132">
        <f t="shared" si="10"/>
        <v>9.9887113387791659E-2</v>
      </c>
      <c r="O41" s="131">
        <f t="shared" si="5"/>
        <v>1553.7805805923369</v>
      </c>
      <c r="P41" s="132">
        <f t="shared" si="6"/>
        <v>0.17661578701973119</v>
      </c>
      <c r="T41" s="109">
        <f t="shared" si="7"/>
        <v>6</v>
      </c>
      <c r="U41" s="110">
        <f t="shared" si="8"/>
        <v>9</v>
      </c>
    </row>
    <row r="42" spans="3:21" x14ac:dyDescent="0.2">
      <c r="C42" s="128">
        <v>27</v>
      </c>
      <c r="D42" s="133">
        <v>750</v>
      </c>
      <c r="E42" s="130">
        <v>0.35</v>
      </c>
      <c r="F42" s="129">
        <f t="shared" si="0"/>
        <v>189000</v>
      </c>
      <c r="G42" s="19">
        <f t="shared" si="1"/>
        <v>23481.978975945116</v>
      </c>
      <c r="H42" s="19">
        <f t="shared" si="2"/>
        <v>14196.240975945113</v>
      </c>
      <c r="I42" s="19">
        <f t="shared" si="3"/>
        <v>28136.231</v>
      </c>
      <c r="J42" s="19">
        <f t="shared" si="4"/>
        <v>15612.462000000001</v>
      </c>
      <c r="K42" s="19">
        <f t="shared" si="9"/>
        <v>4654.2520240548838</v>
      </c>
      <c r="L42" s="19">
        <f t="shared" si="9"/>
        <v>1416.2210240548884</v>
      </c>
      <c r="M42" s="132">
        <f t="shared" si="10"/>
        <v>0.19820527174573699</v>
      </c>
      <c r="N42" s="132">
        <f t="shared" si="10"/>
        <v>9.9760283476070244E-2</v>
      </c>
      <c r="O42" s="19">
        <f t="shared" si="5"/>
        <v>2024.4910160365907</v>
      </c>
      <c r="P42" s="132">
        <f t="shared" si="6"/>
        <v>0.16116754057437055</v>
      </c>
      <c r="T42" s="109">
        <f t="shared" si="7"/>
        <v>6</v>
      </c>
      <c r="U42" s="110">
        <f t="shared" si="8"/>
        <v>9</v>
      </c>
    </row>
    <row r="43" spans="3:21" x14ac:dyDescent="0.2">
      <c r="C43" s="128">
        <v>28</v>
      </c>
      <c r="D43" s="133">
        <v>750</v>
      </c>
      <c r="E43" s="130">
        <v>0.5</v>
      </c>
      <c r="F43" s="129">
        <f t="shared" si="0"/>
        <v>270000</v>
      </c>
      <c r="G43" s="19">
        <f t="shared" si="1"/>
        <v>28692.112822778738</v>
      </c>
      <c r="H43" s="19">
        <f t="shared" si="2"/>
        <v>20277.772822778734</v>
      </c>
      <c r="I43" s="19">
        <f t="shared" si="3"/>
        <v>34152.83</v>
      </c>
      <c r="J43" s="19">
        <f t="shared" si="4"/>
        <v>22299.660000000003</v>
      </c>
      <c r="K43" s="19">
        <f t="shared" si="9"/>
        <v>5460.7171772212641</v>
      </c>
      <c r="L43" s="19">
        <f t="shared" si="9"/>
        <v>2021.8871772212697</v>
      </c>
      <c r="M43" s="132">
        <f t="shared" si="10"/>
        <v>0.19032119422331228</v>
      </c>
      <c r="N43" s="132">
        <f t="shared" si="10"/>
        <v>9.9709528994723406E-2</v>
      </c>
      <c r="O43" s="19">
        <f t="shared" si="5"/>
        <v>2495.2014514808448</v>
      </c>
      <c r="P43" s="132">
        <f t="shared" si="6"/>
        <v>0.15284265421183948</v>
      </c>
      <c r="T43" s="109">
        <f t="shared" si="7"/>
        <v>6</v>
      </c>
      <c r="U43" s="110">
        <f t="shared" si="8"/>
        <v>9</v>
      </c>
    </row>
    <row r="44" spans="3:21" x14ac:dyDescent="0.2">
      <c r="C44" s="128">
        <v>29</v>
      </c>
      <c r="D44" s="133">
        <v>750</v>
      </c>
      <c r="E44" s="130">
        <v>0.65</v>
      </c>
      <c r="F44" s="129">
        <f t="shared" si="0"/>
        <v>351000</v>
      </c>
      <c r="G44" s="19">
        <f t="shared" si="1"/>
        <v>33902.246669612352</v>
      </c>
      <c r="H44" s="19">
        <f t="shared" si="2"/>
        <v>26359.304669612353</v>
      </c>
      <c r="I44" s="19">
        <f t="shared" si="3"/>
        <v>40169.429000000004</v>
      </c>
      <c r="J44" s="19">
        <f t="shared" si="4"/>
        <v>28986.858000000004</v>
      </c>
      <c r="K44" s="19">
        <f t="shared" si="9"/>
        <v>6267.1823303876517</v>
      </c>
      <c r="L44" s="19">
        <f t="shared" si="9"/>
        <v>2627.5533303876509</v>
      </c>
      <c r="M44" s="132">
        <f t="shared" si="10"/>
        <v>0.18486038378114689</v>
      </c>
      <c r="N44" s="132">
        <f t="shared" si="10"/>
        <v>9.9682194326497386E-2</v>
      </c>
      <c r="O44" s="19">
        <f t="shared" si="5"/>
        <v>2965.911886925101</v>
      </c>
      <c r="P44" s="132">
        <f t="shared" si="6"/>
        <v>0.14763725193832913</v>
      </c>
      <c r="T44" s="109">
        <f t="shared" si="7"/>
        <v>6</v>
      </c>
      <c r="U44" s="110">
        <f t="shared" si="8"/>
        <v>9</v>
      </c>
    </row>
    <row r="45" spans="3:21" x14ac:dyDescent="0.2">
      <c r="C45" s="128">
        <v>30</v>
      </c>
      <c r="D45" s="133">
        <v>750</v>
      </c>
      <c r="E45" s="130">
        <v>0.8</v>
      </c>
      <c r="F45" s="129">
        <f t="shared" si="0"/>
        <v>432000</v>
      </c>
      <c r="G45" s="19">
        <f t="shared" si="1"/>
        <v>39112.380516445977</v>
      </c>
      <c r="H45" s="19">
        <f t="shared" si="2"/>
        <v>32440.836516445976</v>
      </c>
      <c r="I45" s="19">
        <f t="shared" si="3"/>
        <v>46186.027999999998</v>
      </c>
      <c r="J45" s="19">
        <f t="shared" si="4"/>
        <v>35674.056000000004</v>
      </c>
      <c r="K45" s="19">
        <f t="shared" si="9"/>
        <v>7073.6474835540212</v>
      </c>
      <c r="L45" s="19">
        <f t="shared" si="9"/>
        <v>3233.2194835540286</v>
      </c>
      <c r="M45" s="132">
        <f t="shared" si="10"/>
        <v>0.18085443509580545</v>
      </c>
      <c r="N45" s="132">
        <f t="shared" si="10"/>
        <v>9.9665108263004898E-2</v>
      </c>
      <c r="O45" s="19">
        <f t="shared" si="5"/>
        <v>3436.6223223693473</v>
      </c>
      <c r="P45" s="132">
        <f t="shared" si="6"/>
        <v>0.14407461951923181</v>
      </c>
      <c r="T45" s="109">
        <f t="shared" si="7"/>
        <v>6</v>
      </c>
      <c r="U45" s="110">
        <f t="shared" si="8"/>
        <v>9</v>
      </c>
    </row>
    <row r="46" spans="3:21" s="9" customFormat="1" ht="6" customHeight="1" thickBot="1" x14ac:dyDescent="0.25"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1"/>
    </row>
    <row r="47" spans="3:21" ht="12.75" thickTop="1" x14ac:dyDescent="0.2">
      <c r="C47" s="116" t="s">
        <v>80</v>
      </c>
    </row>
    <row r="48" spans="3:21" s="9" customFormat="1" ht="6" customHeight="1" x14ac:dyDescent="0.2">
      <c r="Q48" s="1"/>
    </row>
  </sheetData>
  <mergeCells count="10">
    <mergeCell ref="X17:Y17"/>
    <mergeCell ref="Z17:AA17"/>
    <mergeCell ref="G13:J13"/>
    <mergeCell ref="K13:N13"/>
    <mergeCell ref="O13:P13"/>
    <mergeCell ref="G14:H14"/>
    <mergeCell ref="I14:J14"/>
    <mergeCell ref="K14:L14"/>
    <mergeCell ref="M14:N14"/>
    <mergeCell ref="O14:P14"/>
  </mergeCells>
  <printOptions horizontalCentered="1"/>
  <pageMargins left="0.25" right="0.25" top="0.5" bottom="0.5" header="0.3" footer="0.3"/>
  <pageSetup scale="91" fitToHeight="0" orientation="landscape" r:id="rId1"/>
  <headerFooter scaleWithDoc="0">
    <oddFooter>&amp;R&amp;10Exhibit No. 45
Case No. IPC-E-25-16
G. Anderson, IPC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r xmlns="a861b690-d0a9-4018-97d6-298fd6205a36" xsi:nil="true"/>
    <AddedInfo xmlns="a861b690-d0a9-4018-97d6-298fd6205a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F68622-A21A-4F4F-A44A-C6D647754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4BB35-0A12-445B-B592-D3364B15F20E}">
  <ds:schemaRefs>
    <ds:schemaRef ds:uri="d73927f9-2b79-496a-80ac-9ef64eb03c7b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861b690-d0a9-4018-97d6-298fd6205a3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D73FC7-AA5B-4D4E-B4C0-8C8A1ADC1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I01_Base</vt:lpstr>
      <vt:lpstr>I05_Base</vt:lpstr>
      <vt:lpstr>I07_Base</vt:lpstr>
      <vt:lpstr>I09S_Base</vt:lpstr>
      <vt:lpstr>I09P_Base</vt:lpstr>
      <vt:lpstr>I19P_Base</vt:lpstr>
      <vt:lpstr>I24S_Base</vt:lpstr>
      <vt:lpstr>I01_Base!Print_Area</vt:lpstr>
      <vt:lpstr>I05_Base!Print_Area</vt:lpstr>
      <vt:lpstr>I07_Base!Print_Area</vt:lpstr>
      <vt:lpstr>I09P_Base!Print_Area</vt:lpstr>
      <vt:lpstr>I09S_Base!Print_Area</vt:lpstr>
      <vt:lpstr>I19P_Base!Print_Area</vt:lpstr>
      <vt:lpstr>I24S_Base!Print_Area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Haxby, Jakob</dc:creator>
  <cp:lastModifiedBy>Haxby, Jakob</cp:lastModifiedBy>
  <cp:lastPrinted>2025-05-29T20:11:35Z</cp:lastPrinted>
  <dcterms:created xsi:type="dcterms:W3CDTF">2025-05-29T19:43:14Z</dcterms:created>
  <dcterms:modified xsi:type="dcterms:W3CDTF">2025-05-29T20:14:35Z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</Properties>
</file>