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icing and Tariff Admin\GRC\ID\IPC-E-25-16\Atty Work Product\Rate Design\Exhibits\"/>
    </mc:Choice>
  </mc:AlternateContent>
  <xr:revisionPtr revIDLastSave="0" documentId="8_{C26EBE05-EBD7-4DD4-A2DA-2721C80FC44E}" xr6:coauthVersionLast="47" xr6:coauthVersionMax="47" xr10:uidLastSave="{00000000-0000-0000-0000-000000000000}"/>
  <bookViews>
    <workbookView xWindow="-120" yWindow="-120" windowWidth="29040" windowHeight="15720" tabRatio="883" xr2:uid="{2E86A86C-3216-48F2-A963-03C99AE4873D}"/>
  </bookViews>
  <sheets>
    <sheet name="I01+I06" sheetId="1" r:id="rId1"/>
    <sheet name="I01" sheetId="2" r:id="rId2"/>
    <sheet name="I06" sheetId="3" r:id="rId3"/>
    <sheet name="I03" sheetId="4" r:id="rId4"/>
    <sheet name="I05+IO6 TOU" sheetId="5" r:id="rId5"/>
    <sheet name="I05" sheetId="6" r:id="rId6"/>
    <sheet name="I06 TOU" sheetId="7" r:id="rId7"/>
    <sheet name="I07+I08" sheetId="8" r:id="rId8"/>
    <sheet name="I07" sheetId="9" r:id="rId9"/>
    <sheet name="I08" sheetId="10" r:id="rId10"/>
    <sheet name="I09S" sheetId="11" r:id="rId11"/>
    <sheet name="I09S_TOU" sheetId="12" r:id="rId12"/>
    <sheet name="I09P" sheetId="13" r:id="rId13"/>
    <sheet name="I09T" sheetId="14" r:id="rId14"/>
    <sheet name="I19S" sheetId="15" r:id="rId15"/>
    <sheet name="I19P" sheetId="16" r:id="rId16"/>
    <sheet name="I19T" sheetId="17" r:id="rId17"/>
    <sheet name="I24S" sheetId="18" r:id="rId18"/>
    <sheet name="I24T" sheetId="19" r:id="rId19"/>
    <sheet name="I15" sheetId="20" r:id="rId20"/>
    <sheet name="I40" sheetId="21" r:id="rId21"/>
    <sheet name="I41" sheetId="22" r:id="rId22"/>
    <sheet name="I42" sheetId="23" r:id="rId23"/>
    <sheet name="I26" sheetId="24" r:id="rId24"/>
    <sheet name="I29" sheetId="25" r:id="rId25"/>
    <sheet name="I30" sheetId="26" r:id="rId26"/>
    <sheet name="I32" sheetId="27" r:id="rId27"/>
    <sheet name="I33" sheetId="28" r:id="rId28"/>
    <sheet name="I34" sheetId="29" r:id="rId29"/>
  </sheets>
  <definedNames>
    <definedName name="Alloc_Weighting">#REF!</definedName>
    <definedName name="AllocatorList">#REF!</definedName>
    <definedName name="Allocators">#REF!</definedName>
    <definedName name="AllocFactor_Input">#REF!</definedName>
    <definedName name="AllocFactor_Input_CustClass">#REF!</definedName>
    <definedName name="AllocFactor_Input_FactorName">#REF!</definedName>
    <definedName name="AllocFactor_Input_TotalFac">#REF!</definedName>
    <definedName name="AllocFactor_Summary">#REF!</definedName>
    <definedName name="AllocFactor_Summary_CustClass">#REF!</definedName>
    <definedName name="AllocFactor_Summary_Desc">#REF!</definedName>
    <definedName name="AvgMillRate">#REF!</definedName>
    <definedName name="Billing_Unit_Alloc">#REF!</definedName>
    <definedName name="ClassAlloc_CustClass">#REF!</definedName>
    <definedName name="ClassAlloc_Opex">#REF!</definedName>
    <definedName name="ClassAlloc_Opex_Desc">#REF!</definedName>
    <definedName name="ClassAlloc_RateBase">#REF!</definedName>
    <definedName name="ClassAlloc_RateBase_Desc">#REF!</definedName>
    <definedName name="ClassAlloc_Rev">#REF!</definedName>
    <definedName name="ClassAlloc_Rev_Desc">#REF!</definedName>
    <definedName name="Company">#REF!</definedName>
    <definedName name="Desc_Opex">#REF!</definedName>
    <definedName name="Desc_RateBase">#REF!</definedName>
    <definedName name="Desc_Revenue">#REF!</definedName>
    <definedName name="Docket">#REF!</definedName>
    <definedName name="EnergyRounding">#REF!</definedName>
    <definedName name="FC_Alloc">#REF!</definedName>
    <definedName name="FC_Export">#REF!</definedName>
    <definedName name="FC_Export_col">#REF!</definedName>
    <definedName name="FC_Factor_Amts">#REF!</definedName>
    <definedName name="FC_Factor_Name">#REF!</definedName>
    <definedName name="FC_Rate_Schedule">#REF!</definedName>
    <definedName name="FC_Table_Desc">#REF!</definedName>
    <definedName name="FC_Weightings">#REF!</definedName>
    <definedName name="Func_Alloc">#REF!</definedName>
    <definedName name="HeadingTitle1">#REF!</definedName>
    <definedName name="HeadingTitle2">#REF!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JSS_import_desc">#REF!</definedName>
    <definedName name="JSS_import_total">#REF!</definedName>
    <definedName name="JSS_Line_Alloc">#REF!</definedName>
    <definedName name="JSS_row">#REF!</definedName>
    <definedName name="NetGrossFactor">#REF!</definedName>
    <definedName name="OpEx_RowNum">#REF!</definedName>
    <definedName name="OtherRev_RowNum">#REF!</definedName>
    <definedName name="OtherRounding">#REF!</definedName>
    <definedName name="_xlnm.Print_Area" localSheetId="1">'I01'!$B$2:$J$33</definedName>
    <definedName name="_xlnm.Print_Area" localSheetId="0">'I01+I06'!$B$2:$J$33</definedName>
    <definedName name="_xlnm.Print_Area" localSheetId="3">'I03'!$B$2:$J$22</definedName>
    <definedName name="_xlnm.Print_Area" localSheetId="5">'I05'!$B$2:$J$32</definedName>
    <definedName name="_xlnm.Print_Area" localSheetId="4">'I05+IO6 TOU'!$B$2:$J$32</definedName>
    <definedName name="_xlnm.Print_Area" localSheetId="2">'I06'!$B$2:$J$33</definedName>
    <definedName name="_xlnm.Print_Area" localSheetId="6">'I06 TOU'!$B$2:$J$32</definedName>
    <definedName name="_xlnm.Print_Area" localSheetId="8">'I07'!$B$2:$J$31</definedName>
    <definedName name="_xlnm.Print_Area" localSheetId="7">'I07+I08'!$B$2:$J$31</definedName>
    <definedName name="_xlnm.Print_Area" localSheetId="9">'I08'!$B$2:$J$31</definedName>
    <definedName name="_xlnm.Print_Area" localSheetId="12">I09P!$B$2:$J$40</definedName>
    <definedName name="_xlnm.Print_Area" localSheetId="10">I09S!$B$2:$J$32</definedName>
    <definedName name="_xlnm.Print_Area" localSheetId="11">I09S_TOU!$B$2:$J$39</definedName>
    <definedName name="_xlnm.Print_Area" localSheetId="13">I09T!$B$2:$J$40</definedName>
    <definedName name="_xlnm.Print_Area" localSheetId="19">'I15'!$B$2:$J$31</definedName>
    <definedName name="_xlnm.Print_Area" localSheetId="15">I19P!$B$2:$J$53</definedName>
    <definedName name="_xlnm.Print_Area" localSheetId="14">I19S!$B$2:$J$40</definedName>
    <definedName name="_xlnm.Print_Area" localSheetId="16">I19T!$B$2:$J$40</definedName>
    <definedName name="_xlnm.Print_Area" localSheetId="17">I24S!$B$2:$J$42</definedName>
    <definedName name="_xlnm.Print_Area" localSheetId="18">I24T!$B$2:$J$30</definedName>
    <definedName name="_xlnm.Print_Area" localSheetId="23">'I26'!$B$2:$J$25</definedName>
    <definedName name="_xlnm.Print_Area" localSheetId="24">'I29'!$B$2:$J$24</definedName>
    <definedName name="_xlnm.Print_Area" localSheetId="25">'I30'!$B$2:$J$24</definedName>
    <definedName name="_xlnm.Print_Area" localSheetId="26">'I32'!$B$2:$J$32</definedName>
    <definedName name="_xlnm.Print_Area" localSheetId="27">'I33'!$B$2:$J$46</definedName>
    <definedName name="_xlnm.Print_Area" localSheetId="28">'I34'!$B$2:$J$46</definedName>
    <definedName name="_xlnm.Print_Area" localSheetId="20">'I40'!$B$2:$J$24</definedName>
    <definedName name="_xlnm.Print_Area" localSheetId="21">'I41'!$B$2:$J$71</definedName>
    <definedName name="_xlnm.Print_Area" localSheetId="22">'I42'!$B$2:$J$22</definedName>
    <definedName name="_xlnm.Print_Titles" localSheetId="21">'I41'!$2:$9</definedName>
    <definedName name="RateBase_RowNum">#REF!</definedName>
    <definedName name="RequiredROR">#REF!</definedName>
    <definedName name="ResultsSummary">#REF!</definedName>
    <definedName name="ResultsSummary_CustClass">#REF!</definedName>
    <definedName name="ResultsSummary_Desc">#REF!</definedName>
    <definedName name="Rounding">#REF!</definedName>
    <definedName name="State">#REF!</definedName>
    <definedName name="Summary_AccumDefIT">#REF!</definedName>
    <definedName name="Summary_AcqAdj">#REF!</definedName>
    <definedName name="Summary_AmortExp">#REF!</definedName>
    <definedName name="Summary_AmortReserve">#REF!</definedName>
    <definedName name="Summary_CustAddvConst">#REF!</definedName>
    <definedName name="Summary_CWIP">#REF!</definedName>
    <definedName name="Summary_DefITC">#REF!</definedName>
    <definedName name="Summary_DefPrgrms">#REF!</definedName>
    <definedName name="Summary_DepExp">#REF!</definedName>
    <definedName name="Summary_DepReserve">#REF!</definedName>
    <definedName name="Summary_OM">#REF!</definedName>
    <definedName name="Summary_OpEx">#REF!</definedName>
    <definedName name="Summary_OtherTax">#REF!</definedName>
    <definedName name="Summary_PlantInServ">#REF!</definedName>
    <definedName name="Summary_PltHFFU">#REF!</definedName>
    <definedName name="Summary_ProvDefIT">#REF!</definedName>
    <definedName name="Summary_RateBase">#REF!</definedName>
    <definedName name="Summary_RegDebCred">#REF!</definedName>
    <definedName name="Summary_Revenue">#REF!</definedName>
    <definedName name="Summary_SbsdryRB">#REF!</definedName>
    <definedName name="Summary_SubstCIAC">#REF!</definedName>
    <definedName name="Summary_WC">#REF!</definedName>
    <definedName name="Table21_Desc">#REF!</definedName>
    <definedName name="Table21_StateIncTax">#REF!</definedName>
    <definedName name="Table22_Desc">#REF!</definedName>
    <definedName name="Table22_FedIncTax">#REF!</definedName>
    <definedName name="TOU_Cost">#REF!</definedName>
    <definedName name="Version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29" l="1"/>
  <c r="G41" i="29"/>
  <c r="G40" i="29"/>
  <c r="H39" i="29"/>
  <c r="I39" i="29" s="1"/>
  <c r="G39" i="29"/>
  <c r="C38" i="29"/>
  <c r="C39" i="29" s="1"/>
  <c r="C40" i="29" s="1"/>
  <c r="C41" i="29" s="1"/>
  <c r="C42" i="29" s="1"/>
  <c r="C43" i="29" s="1"/>
  <c r="C44" i="29" s="1"/>
  <c r="G34" i="29"/>
  <c r="G33" i="29"/>
  <c r="G32" i="29"/>
  <c r="G35" i="29" s="1"/>
  <c r="E30" i="29"/>
  <c r="G29" i="29"/>
  <c r="G28" i="29"/>
  <c r="G27" i="29"/>
  <c r="G25" i="29"/>
  <c r="O24" i="29"/>
  <c r="G23" i="29"/>
  <c r="G22" i="29"/>
  <c r="I20" i="29"/>
  <c r="G20" i="29"/>
  <c r="G18" i="29"/>
  <c r="C18" i="29"/>
  <c r="C19" i="29" s="1"/>
  <c r="C20" i="29" s="1"/>
  <c r="C21" i="29" s="1"/>
  <c r="C22" i="29" s="1"/>
  <c r="C23" i="29" s="1"/>
  <c r="C24" i="29" s="1"/>
  <c r="C25" i="29" s="1"/>
  <c r="C26" i="29" s="1"/>
  <c r="C27" i="29" s="1"/>
  <c r="C28" i="29" s="1"/>
  <c r="C29" i="29" s="1"/>
  <c r="C30" i="29" s="1"/>
  <c r="C31" i="29" s="1"/>
  <c r="C32" i="29" s="1"/>
  <c r="C33" i="29" s="1"/>
  <c r="C34" i="29" s="1"/>
  <c r="C35" i="29" s="1"/>
  <c r="C36" i="29" s="1"/>
  <c r="C37" i="29" s="1"/>
  <c r="L14" i="29"/>
  <c r="I41" i="28"/>
  <c r="G41" i="28"/>
  <c r="H39" i="28"/>
  <c r="I39" i="28" s="1"/>
  <c r="G39" i="28"/>
  <c r="G34" i="28"/>
  <c r="G33" i="28"/>
  <c r="E35" i="28"/>
  <c r="E36" i="28" s="1"/>
  <c r="G32" i="28"/>
  <c r="G35" i="28" s="1"/>
  <c r="G29" i="28"/>
  <c r="G28" i="28"/>
  <c r="E30" i="28"/>
  <c r="G27" i="28"/>
  <c r="G24" i="28"/>
  <c r="I23" i="28"/>
  <c r="G23" i="28"/>
  <c r="G22" i="28"/>
  <c r="E24" i="28"/>
  <c r="G20" i="28"/>
  <c r="C19" i="28"/>
  <c r="C20" i="28" s="1"/>
  <c r="C21" i="28" s="1"/>
  <c r="C22" i="28" s="1"/>
  <c r="C23" i="28" s="1"/>
  <c r="C24" i="28" s="1"/>
  <c r="C25" i="28" s="1"/>
  <c r="C26" i="28" s="1"/>
  <c r="C27" i="28" s="1"/>
  <c r="C28" i="28" s="1"/>
  <c r="C29" i="28" s="1"/>
  <c r="C30" i="28" s="1"/>
  <c r="C31" i="28" s="1"/>
  <c r="C32" i="28" s="1"/>
  <c r="C33" i="28" s="1"/>
  <c r="C34" i="28" s="1"/>
  <c r="C35" i="28" s="1"/>
  <c r="C36" i="28" s="1"/>
  <c r="C37" i="28" s="1"/>
  <c r="C38" i="28" s="1"/>
  <c r="C39" i="28" s="1"/>
  <c r="C40" i="28" s="1"/>
  <c r="C41" i="28" s="1"/>
  <c r="C42" i="28" s="1"/>
  <c r="C43" i="28" s="1"/>
  <c r="C44" i="28" s="1"/>
  <c r="G18" i="28"/>
  <c r="C18" i="28"/>
  <c r="L14" i="28"/>
  <c r="O40" i="27"/>
  <c r="P40" i="27" s="1"/>
  <c r="N44" i="27"/>
  <c r="Q28" i="27"/>
  <c r="G28" i="27"/>
  <c r="I25" i="27"/>
  <c r="G25" i="27"/>
  <c r="I24" i="27"/>
  <c r="G24" i="27"/>
  <c r="G22" i="27"/>
  <c r="G21" i="27"/>
  <c r="C20" i="27"/>
  <c r="C21" i="27" s="1"/>
  <c r="C22" i="27" s="1"/>
  <c r="C23" i="27" s="1"/>
  <c r="C24" i="27" s="1"/>
  <c r="C25" i="27" s="1"/>
  <c r="C26" i="27" s="1"/>
  <c r="C27" i="27" s="1"/>
  <c r="C28" i="27" s="1"/>
  <c r="C29" i="27" s="1"/>
  <c r="C30" i="27" s="1"/>
  <c r="I19" i="27"/>
  <c r="G19" i="27"/>
  <c r="C19" i="27"/>
  <c r="I18" i="27"/>
  <c r="C18" i="27"/>
  <c r="L14" i="27"/>
  <c r="O26" i="26"/>
  <c r="I20" i="26" s="1"/>
  <c r="G22" i="26"/>
  <c r="G20" i="26"/>
  <c r="C19" i="26"/>
  <c r="C20" i="26" s="1"/>
  <c r="C21" i="26" s="1"/>
  <c r="C22" i="26" s="1"/>
  <c r="G18" i="26"/>
  <c r="C18" i="26"/>
  <c r="L14" i="26"/>
  <c r="O28" i="25"/>
  <c r="I20" i="25" s="1"/>
  <c r="C21" i="25"/>
  <c r="C22" i="25" s="1"/>
  <c r="G20" i="25"/>
  <c r="I19" i="25"/>
  <c r="G19" i="25"/>
  <c r="G18" i="25"/>
  <c r="C18" i="25"/>
  <c r="C19" i="25" s="1"/>
  <c r="C20" i="25" s="1"/>
  <c r="I17" i="25"/>
  <c r="G17" i="25"/>
  <c r="G22" i="25" s="1"/>
  <c r="L14" i="25"/>
  <c r="O28" i="24"/>
  <c r="I21" i="24" s="1"/>
  <c r="G21" i="24"/>
  <c r="I20" i="24"/>
  <c r="G20" i="24"/>
  <c r="G23" i="24" s="1"/>
  <c r="I19" i="24"/>
  <c r="G19" i="24"/>
  <c r="G18" i="24"/>
  <c r="C18" i="24"/>
  <c r="C19" i="24" s="1"/>
  <c r="C20" i="24" s="1"/>
  <c r="C21" i="24" s="1"/>
  <c r="C22" i="24" s="1"/>
  <c r="C23" i="24" s="1"/>
  <c r="I17" i="24"/>
  <c r="G17" i="24"/>
  <c r="L14" i="24"/>
  <c r="C19" i="23"/>
  <c r="C20" i="23" s="1"/>
  <c r="G18" i="23"/>
  <c r="C18" i="23"/>
  <c r="L17" i="23"/>
  <c r="G67" i="22"/>
  <c r="G56" i="22"/>
  <c r="F19" i="22" s="1"/>
  <c r="I54" i="22"/>
  <c r="I67" i="22"/>
  <c r="G54" i="22"/>
  <c r="G41" i="22"/>
  <c r="G38" i="22"/>
  <c r="G36" i="22"/>
  <c r="C35" i="22"/>
  <c r="C36" i="22" s="1"/>
  <c r="C37" i="22" s="1"/>
  <c r="C38" i="22" s="1"/>
  <c r="C39" i="22" s="1"/>
  <c r="C41" i="22" s="1"/>
  <c r="C42" i="22" s="1"/>
  <c r="C53" i="22" s="1"/>
  <c r="C54" i="22" s="1"/>
  <c r="C56" i="22" s="1"/>
  <c r="C64" i="22" s="1"/>
  <c r="C66" i="22" s="1"/>
  <c r="C67" i="22" s="1"/>
  <c r="C69" i="22" s="1"/>
  <c r="E21" i="22"/>
  <c r="C21" i="22"/>
  <c r="C22" i="22" s="1"/>
  <c r="C23" i="22" s="1"/>
  <c r="C34" i="22" s="1"/>
  <c r="E20" i="22"/>
  <c r="C20" i="22"/>
  <c r="E19" i="22"/>
  <c r="C19" i="22"/>
  <c r="L17" i="22"/>
  <c r="H20" i="21"/>
  <c r="I20" i="21" s="1"/>
  <c r="G20" i="21"/>
  <c r="C20" i="21"/>
  <c r="C21" i="21" s="1"/>
  <c r="C22" i="21" s="1"/>
  <c r="G19" i="21"/>
  <c r="C18" i="21"/>
  <c r="C19" i="21" s="1"/>
  <c r="L17" i="21"/>
  <c r="I17" i="21"/>
  <c r="G17" i="21"/>
  <c r="C26" i="20"/>
  <c r="C27" i="20" s="1"/>
  <c r="C28" i="20" s="1"/>
  <c r="C29" i="20" s="1"/>
  <c r="I25" i="20"/>
  <c r="G25" i="20"/>
  <c r="I20" i="20"/>
  <c r="G20" i="20"/>
  <c r="C18" i="20"/>
  <c r="C19" i="20" s="1"/>
  <c r="C20" i="20" s="1"/>
  <c r="C21" i="20" s="1"/>
  <c r="C22" i="20" s="1"/>
  <c r="C23" i="20" s="1"/>
  <c r="C24" i="20" s="1"/>
  <c r="C25" i="20" s="1"/>
  <c r="L17" i="20"/>
  <c r="E26" i="19"/>
  <c r="G25" i="19"/>
  <c r="C25" i="19"/>
  <c r="C26" i="19" s="1"/>
  <c r="C27" i="19" s="1"/>
  <c r="C28" i="19" s="1"/>
  <c r="G24" i="19"/>
  <c r="G22" i="19"/>
  <c r="G21" i="19"/>
  <c r="C20" i="19"/>
  <c r="C21" i="19" s="1"/>
  <c r="C22" i="19" s="1"/>
  <c r="C23" i="19" s="1"/>
  <c r="C24" i="19" s="1"/>
  <c r="G19" i="19"/>
  <c r="I18" i="19"/>
  <c r="H18" i="19"/>
  <c r="G18" i="19"/>
  <c r="C18" i="19"/>
  <c r="C19" i="19" s="1"/>
  <c r="L17" i="19"/>
  <c r="G17" i="19"/>
  <c r="I37" i="18"/>
  <c r="E38" i="18"/>
  <c r="O25" i="19"/>
  <c r="I21" i="19" s="1"/>
  <c r="C29" i="18"/>
  <c r="C30" i="18" s="1"/>
  <c r="C31" i="18" s="1"/>
  <c r="C32" i="18" s="1"/>
  <c r="C33" i="18" s="1"/>
  <c r="C34" i="18" s="1"/>
  <c r="C35" i="18" s="1"/>
  <c r="C36" i="18" s="1"/>
  <c r="C37" i="18" s="1"/>
  <c r="C38" i="18" s="1"/>
  <c r="C39" i="18" s="1"/>
  <c r="C40" i="18" s="1"/>
  <c r="E27" i="18"/>
  <c r="O26" i="18"/>
  <c r="G25" i="18"/>
  <c r="C22" i="18"/>
  <c r="C23" i="18" s="1"/>
  <c r="C24" i="18" s="1"/>
  <c r="C25" i="18" s="1"/>
  <c r="C26" i="18" s="1"/>
  <c r="C27" i="18" s="1"/>
  <c r="C28" i="18" s="1"/>
  <c r="C19" i="18"/>
  <c r="C20" i="18" s="1"/>
  <c r="C21" i="18" s="1"/>
  <c r="G18" i="18"/>
  <c r="C18" i="18"/>
  <c r="L17" i="18"/>
  <c r="G34" i="17"/>
  <c r="G33" i="17"/>
  <c r="E35" i="17"/>
  <c r="G29" i="17"/>
  <c r="G28" i="17"/>
  <c r="G27" i="17"/>
  <c r="G30" i="17" s="1"/>
  <c r="F30" i="17" s="1"/>
  <c r="E30" i="17"/>
  <c r="I25" i="17"/>
  <c r="G24" i="17"/>
  <c r="E24" i="17"/>
  <c r="I23" i="17"/>
  <c r="G23" i="17"/>
  <c r="G22" i="17"/>
  <c r="I20" i="28"/>
  <c r="G20" i="17"/>
  <c r="I18" i="17"/>
  <c r="G18" i="17"/>
  <c r="C18" i="17"/>
  <c r="C19" i="17" s="1"/>
  <c r="C20" i="17" s="1"/>
  <c r="C21" i="17" s="1"/>
  <c r="C22" i="17" s="1"/>
  <c r="C23" i="17" s="1"/>
  <c r="C24" i="17" s="1"/>
  <c r="C25" i="17" s="1"/>
  <c r="C26" i="17" s="1"/>
  <c r="C27" i="17" s="1"/>
  <c r="C28" i="17" s="1"/>
  <c r="C29" i="17" s="1"/>
  <c r="C30" i="17" s="1"/>
  <c r="C31" i="17" s="1"/>
  <c r="C32" i="17" s="1"/>
  <c r="C33" i="17" s="1"/>
  <c r="C34" i="17" s="1"/>
  <c r="C35" i="17" s="1"/>
  <c r="C36" i="17" s="1"/>
  <c r="C37" i="17" s="1"/>
  <c r="C38" i="17" s="1"/>
  <c r="L17" i="17"/>
  <c r="G17" i="17"/>
  <c r="G47" i="16"/>
  <c r="G46" i="16"/>
  <c r="G45" i="16"/>
  <c r="G48" i="16" s="1"/>
  <c r="E48" i="16"/>
  <c r="E49" i="16" s="1"/>
  <c r="E43" i="16"/>
  <c r="G42" i="16"/>
  <c r="G41" i="16"/>
  <c r="E35" i="16"/>
  <c r="G34" i="16"/>
  <c r="G33" i="16"/>
  <c r="G28" i="16"/>
  <c r="C27" i="16"/>
  <c r="C28" i="16" s="1"/>
  <c r="C29" i="16" s="1"/>
  <c r="C30" i="16" s="1"/>
  <c r="C31" i="16" s="1"/>
  <c r="C32" i="16" s="1"/>
  <c r="C33" i="16" s="1"/>
  <c r="C34" i="16" s="1"/>
  <c r="C35" i="16" s="1"/>
  <c r="C36" i="16" s="1"/>
  <c r="C37" i="16" s="1"/>
  <c r="C38" i="16" s="1"/>
  <c r="C39" i="16" s="1"/>
  <c r="C40" i="16" s="1"/>
  <c r="C41" i="16" s="1"/>
  <c r="C42" i="16" s="1"/>
  <c r="C43" i="16" s="1"/>
  <c r="C44" i="16" s="1"/>
  <c r="C45" i="16" s="1"/>
  <c r="C46" i="16" s="1"/>
  <c r="C47" i="16" s="1"/>
  <c r="C48" i="16" s="1"/>
  <c r="C49" i="16" s="1"/>
  <c r="C50" i="16" s="1"/>
  <c r="C51" i="16" s="1"/>
  <c r="I25" i="16"/>
  <c r="I25" i="29"/>
  <c r="G25" i="16"/>
  <c r="E24" i="16"/>
  <c r="I23" i="16"/>
  <c r="I23" i="29"/>
  <c r="G23" i="16"/>
  <c r="G22" i="16"/>
  <c r="G24" i="16" s="1"/>
  <c r="G20" i="16"/>
  <c r="I20" i="16"/>
  <c r="C20" i="16"/>
  <c r="C21" i="16" s="1"/>
  <c r="C22" i="16" s="1"/>
  <c r="C23" i="16" s="1"/>
  <c r="C24" i="16" s="1"/>
  <c r="C25" i="16" s="1"/>
  <c r="C26" i="16" s="1"/>
  <c r="C19" i="16"/>
  <c r="I18" i="16"/>
  <c r="G18" i="16"/>
  <c r="C18" i="16"/>
  <c r="L17" i="16"/>
  <c r="G17" i="16"/>
  <c r="O24" i="15"/>
  <c r="O26" i="15" s="1"/>
  <c r="O26" i="17" s="1"/>
  <c r="G34" i="15"/>
  <c r="G33" i="15"/>
  <c r="E35" i="15"/>
  <c r="G32" i="15"/>
  <c r="G29" i="15"/>
  <c r="E24" i="15"/>
  <c r="I23" i="15"/>
  <c r="I24" i="15" s="1"/>
  <c r="G23" i="15"/>
  <c r="I22" i="15"/>
  <c r="G22" i="15"/>
  <c r="G24" i="15" s="1"/>
  <c r="C21" i="15"/>
  <c r="C22" i="15" s="1"/>
  <c r="C23" i="15" s="1"/>
  <c r="C24" i="15" s="1"/>
  <c r="C25" i="15" s="1"/>
  <c r="C26" i="15" s="1"/>
  <c r="C27" i="15" s="1"/>
  <c r="C28" i="15" s="1"/>
  <c r="C29" i="15" s="1"/>
  <c r="C30" i="15" s="1"/>
  <c r="C31" i="15" s="1"/>
  <c r="C32" i="15" s="1"/>
  <c r="C33" i="15" s="1"/>
  <c r="C34" i="15" s="1"/>
  <c r="C35" i="15" s="1"/>
  <c r="C36" i="15" s="1"/>
  <c r="C37" i="15" s="1"/>
  <c r="C38" i="15" s="1"/>
  <c r="C19" i="15"/>
  <c r="C20" i="15" s="1"/>
  <c r="H18" i="15"/>
  <c r="I18" i="15" s="1"/>
  <c r="G18" i="15"/>
  <c r="C18" i="15"/>
  <c r="L17" i="15"/>
  <c r="I17" i="15"/>
  <c r="G17" i="15"/>
  <c r="G34" i="14"/>
  <c r="G33" i="14"/>
  <c r="E35" i="14"/>
  <c r="E36" i="14" s="1"/>
  <c r="G32" i="14"/>
  <c r="G35" i="14" s="1"/>
  <c r="F35" i="14" s="1"/>
  <c r="O25" i="14" s="1"/>
  <c r="G29" i="14"/>
  <c r="G28" i="14"/>
  <c r="G30" i="14" s="1"/>
  <c r="F30" i="14" s="1"/>
  <c r="E30" i="14"/>
  <c r="O42" i="14" s="1"/>
  <c r="G27" i="14"/>
  <c r="I25" i="14"/>
  <c r="G25" i="14"/>
  <c r="I23" i="14"/>
  <c r="G23" i="14"/>
  <c r="I22" i="14"/>
  <c r="G22" i="14"/>
  <c r="E24" i="14"/>
  <c r="G20" i="14"/>
  <c r="I20" i="14"/>
  <c r="I18" i="14"/>
  <c r="H18" i="14"/>
  <c r="G18" i="14"/>
  <c r="C18" i="14"/>
  <c r="C19" i="14" s="1"/>
  <c r="C20" i="14" s="1"/>
  <c r="C21" i="14" s="1"/>
  <c r="C22" i="14" s="1"/>
  <c r="C23" i="14" s="1"/>
  <c r="C24" i="14" s="1"/>
  <c r="C25" i="14" s="1"/>
  <c r="C26" i="14" s="1"/>
  <c r="C27" i="14" s="1"/>
  <c r="C28" i="14" s="1"/>
  <c r="C29" i="14" s="1"/>
  <c r="C30" i="14" s="1"/>
  <c r="C31" i="14" s="1"/>
  <c r="C32" i="14" s="1"/>
  <c r="C33" i="14" s="1"/>
  <c r="C34" i="14" s="1"/>
  <c r="C35" i="14" s="1"/>
  <c r="C36" i="14" s="1"/>
  <c r="C37" i="14" s="1"/>
  <c r="C38" i="14" s="1"/>
  <c r="L17" i="14"/>
  <c r="I17" i="14"/>
  <c r="G17" i="14"/>
  <c r="G34" i="13"/>
  <c r="G33" i="13"/>
  <c r="G32" i="13"/>
  <c r="G35" i="13" s="1"/>
  <c r="G28" i="13"/>
  <c r="I25" i="13"/>
  <c r="G25" i="13"/>
  <c r="I24" i="13"/>
  <c r="I23" i="13"/>
  <c r="G23" i="13"/>
  <c r="I22" i="13"/>
  <c r="E24" i="13"/>
  <c r="I20" i="13"/>
  <c r="C20" i="13"/>
  <c r="C21" i="13" s="1"/>
  <c r="C22" i="13" s="1"/>
  <c r="C23" i="13" s="1"/>
  <c r="C24" i="13" s="1"/>
  <c r="C25" i="13" s="1"/>
  <c r="C26" i="13" s="1"/>
  <c r="C27" i="13" s="1"/>
  <c r="C28" i="13" s="1"/>
  <c r="C29" i="13" s="1"/>
  <c r="C30" i="13" s="1"/>
  <c r="C31" i="13" s="1"/>
  <c r="C32" i="13" s="1"/>
  <c r="C33" i="13" s="1"/>
  <c r="C34" i="13" s="1"/>
  <c r="C35" i="13" s="1"/>
  <c r="C36" i="13" s="1"/>
  <c r="C37" i="13" s="1"/>
  <c r="C38" i="13" s="1"/>
  <c r="C19" i="13"/>
  <c r="I18" i="13"/>
  <c r="G18" i="13"/>
  <c r="H18" i="13"/>
  <c r="C18" i="13"/>
  <c r="L17" i="13"/>
  <c r="G60" i="12"/>
  <c r="G59" i="12"/>
  <c r="G58" i="12"/>
  <c r="G61" i="12" s="1"/>
  <c r="E61" i="12"/>
  <c r="E62" i="12" s="1"/>
  <c r="E56" i="12"/>
  <c r="G55" i="12"/>
  <c r="G54" i="12"/>
  <c r="L53" i="12"/>
  <c r="G53" i="12"/>
  <c r="G50" i="12"/>
  <c r="G47" i="12"/>
  <c r="C45" i="12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56" i="12" s="1"/>
  <c r="C57" i="12" s="1"/>
  <c r="C58" i="12" s="1"/>
  <c r="C59" i="12" s="1"/>
  <c r="C60" i="12" s="1"/>
  <c r="C61" i="12" s="1"/>
  <c r="C62" i="12" s="1"/>
  <c r="C63" i="12" s="1"/>
  <c r="C64" i="12" s="1"/>
  <c r="G44" i="12"/>
  <c r="E34" i="12"/>
  <c r="E35" i="12" s="1"/>
  <c r="G33" i="12"/>
  <c r="G32" i="12"/>
  <c r="G28" i="12"/>
  <c r="G27" i="12"/>
  <c r="G26" i="12"/>
  <c r="E29" i="12"/>
  <c r="C25" i="12"/>
  <c r="C26" i="12" s="1"/>
  <c r="C27" i="12" s="1"/>
  <c r="C28" i="12" s="1"/>
  <c r="C29" i="12" s="1"/>
  <c r="C30" i="12" s="1"/>
  <c r="C31" i="12" s="1"/>
  <c r="C32" i="12" s="1"/>
  <c r="C33" i="12" s="1"/>
  <c r="C34" i="12" s="1"/>
  <c r="C35" i="12" s="1"/>
  <c r="C36" i="12" s="1"/>
  <c r="C37" i="12" s="1"/>
  <c r="I22" i="12"/>
  <c r="H22" i="12"/>
  <c r="H49" i="12" s="1"/>
  <c r="G22" i="12"/>
  <c r="C22" i="12"/>
  <c r="C23" i="12" s="1"/>
  <c r="C24" i="12" s="1"/>
  <c r="H18" i="12"/>
  <c r="G18" i="12"/>
  <c r="C18" i="12"/>
  <c r="C19" i="12" s="1"/>
  <c r="C20" i="12" s="1"/>
  <c r="C21" i="12" s="1"/>
  <c r="L17" i="12"/>
  <c r="G17" i="12"/>
  <c r="E49" i="11"/>
  <c r="C49" i="11"/>
  <c r="C50" i="11" s="1"/>
  <c r="C51" i="11" s="1"/>
  <c r="C52" i="11" s="1"/>
  <c r="C53" i="11" s="1"/>
  <c r="C54" i="11" s="1"/>
  <c r="C55" i="11" s="1"/>
  <c r="H48" i="11"/>
  <c r="I48" i="11" s="1"/>
  <c r="G48" i="11"/>
  <c r="F48" i="11"/>
  <c r="F47" i="11"/>
  <c r="G47" i="11" s="1"/>
  <c r="C46" i="11"/>
  <c r="C47" i="11" s="1"/>
  <c r="C48" i="11" s="1"/>
  <c r="H43" i="11"/>
  <c r="I43" i="11" s="1"/>
  <c r="G43" i="11"/>
  <c r="F43" i="11"/>
  <c r="C43" i="11"/>
  <c r="C44" i="11" s="1"/>
  <c r="C45" i="11" s="1"/>
  <c r="H42" i="11"/>
  <c r="I42" i="11" s="1"/>
  <c r="O26" i="11"/>
  <c r="I26" i="11"/>
  <c r="H51" i="11"/>
  <c r="I51" i="11" s="1"/>
  <c r="H23" i="12"/>
  <c r="I23" i="12" s="1"/>
  <c r="G23" i="11"/>
  <c r="H47" i="11"/>
  <c r="I47" i="11" s="1"/>
  <c r="E24" i="11"/>
  <c r="O19" i="12"/>
  <c r="H18" i="11"/>
  <c r="I18" i="11" s="1"/>
  <c r="G18" i="11"/>
  <c r="C18" i="11"/>
  <c r="C19" i="11" s="1"/>
  <c r="C20" i="11" s="1"/>
  <c r="C21" i="11" s="1"/>
  <c r="C22" i="11" s="1"/>
  <c r="C23" i="11" s="1"/>
  <c r="C24" i="11" s="1"/>
  <c r="C25" i="11" s="1"/>
  <c r="C26" i="11" s="1"/>
  <c r="C27" i="11" s="1"/>
  <c r="C28" i="11" s="1"/>
  <c r="C29" i="11" s="1"/>
  <c r="C30" i="11" s="1"/>
  <c r="L17" i="11"/>
  <c r="L46" i="11" s="1"/>
  <c r="G25" i="10"/>
  <c r="E26" i="10"/>
  <c r="E27" i="10" s="1"/>
  <c r="O23" i="10"/>
  <c r="E22" i="10"/>
  <c r="G21" i="10"/>
  <c r="G20" i="10"/>
  <c r="G22" i="10" s="1"/>
  <c r="F22" i="10" s="1"/>
  <c r="C19" i="10"/>
  <c r="C20" i="10" s="1"/>
  <c r="C21" i="10" s="1"/>
  <c r="C22" i="10" s="1"/>
  <c r="C23" i="10" s="1"/>
  <c r="C24" i="10" s="1"/>
  <c r="C25" i="10" s="1"/>
  <c r="C26" i="10" s="1"/>
  <c r="C27" i="10" s="1"/>
  <c r="C28" i="10" s="1"/>
  <c r="C29" i="10" s="1"/>
  <c r="C18" i="10"/>
  <c r="L17" i="10"/>
  <c r="G17" i="10"/>
  <c r="G28" i="8"/>
  <c r="G25" i="9"/>
  <c r="E26" i="9"/>
  <c r="E27" i="9" s="1"/>
  <c r="O23" i="9"/>
  <c r="E22" i="9"/>
  <c r="G20" i="9"/>
  <c r="E18" i="8"/>
  <c r="I18" i="8" s="1"/>
  <c r="C18" i="9"/>
  <c r="C19" i="9" s="1"/>
  <c r="C20" i="9" s="1"/>
  <c r="C21" i="9" s="1"/>
  <c r="C22" i="9" s="1"/>
  <c r="C23" i="9" s="1"/>
  <c r="C24" i="9" s="1"/>
  <c r="C25" i="9" s="1"/>
  <c r="C26" i="9" s="1"/>
  <c r="C27" i="9" s="1"/>
  <c r="C28" i="9" s="1"/>
  <c r="C29" i="9" s="1"/>
  <c r="L17" i="9"/>
  <c r="G17" i="9"/>
  <c r="O29" i="8"/>
  <c r="H17" i="8" s="1"/>
  <c r="G25" i="8"/>
  <c r="E25" i="8"/>
  <c r="E20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H18" i="8"/>
  <c r="H18" i="9" s="1"/>
  <c r="C18" i="8"/>
  <c r="L17" i="8"/>
  <c r="G26" i="7"/>
  <c r="G25" i="7"/>
  <c r="G27" i="7" s="1"/>
  <c r="E27" i="7"/>
  <c r="O24" i="7"/>
  <c r="G21" i="7"/>
  <c r="C20" i="7"/>
  <c r="C21" i="7" s="1"/>
  <c r="C22" i="7" s="1"/>
  <c r="C23" i="7" s="1"/>
  <c r="C24" i="7" s="1"/>
  <c r="C25" i="7" s="1"/>
  <c r="C26" i="7" s="1"/>
  <c r="C27" i="7" s="1"/>
  <c r="C28" i="7" s="1"/>
  <c r="C29" i="7" s="1"/>
  <c r="C30" i="7" s="1"/>
  <c r="C19" i="7"/>
  <c r="C18" i="7"/>
  <c r="L17" i="7"/>
  <c r="G17" i="7"/>
  <c r="O29" i="6"/>
  <c r="O28" i="6"/>
  <c r="E28" i="6"/>
  <c r="G26" i="6"/>
  <c r="E27" i="6"/>
  <c r="G22" i="6"/>
  <c r="G21" i="6"/>
  <c r="G20" i="6"/>
  <c r="E23" i="6"/>
  <c r="I18" i="6"/>
  <c r="H18" i="6"/>
  <c r="G18" i="6"/>
  <c r="C18" i="6"/>
  <c r="C19" i="6" s="1"/>
  <c r="C20" i="6" s="1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L17" i="6"/>
  <c r="G17" i="6"/>
  <c r="O29" i="5"/>
  <c r="G29" i="5"/>
  <c r="G26" i="5"/>
  <c r="E26" i="5"/>
  <c r="O30" i="5"/>
  <c r="E21" i="5"/>
  <c r="G21" i="5" s="1"/>
  <c r="H18" i="5"/>
  <c r="I18" i="5" s="1"/>
  <c r="E1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L17" i="5"/>
  <c r="G18" i="4"/>
  <c r="C18" i="4"/>
  <c r="C19" i="4" s="1"/>
  <c r="C20" i="4" s="1"/>
  <c r="L17" i="4"/>
  <c r="G17" i="4"/>
  <c r="G30" i="1"/>
  <c r="E28" i="3"/>
  <c r="G26" i="3"/>
  <c r="G25" i="3"/>
  <c r="O23" i="3"/>
  <c r="G22" i="3"/>
  <c r="E23" i="3"/>
  <c r="C21" i="3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G20" i="3"/>
  <c r="H18" i="3"/>
  <c r="I18" i="3" s="1"/>
  <c r="G18" i="3"/>
  <c r="C18" i="3"/>
  <c r="C19" i="3" s="1"/>
  <c r="C20" i="3" s="1"/>
  <c r="L17" i="3"/>
  <c r="G27" i="2"/>
  <c r="G26" i="2"/>
  <c r="G25" i="2"/>
  <c r="G28" i="2" s="1"/>
  <c r="E23" i="2"/>
  <c r="G22" i="2"/>
  <c r="G21" i="2"/>
  <c r="G20" i="2"/>
  <c r="C19" i="2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G18" i="2"/>
  <c r="E18" i="1"/>
  <c r="C18" i="2"/>
  <c r="L17" i="2"/>
  <c r="O29" i="1"/>
  <c r="H17" i="1" s="1"/>
  <c r="E26" i="1"/>
  <c r="G22" i="1"/>
  <c r="E22" i="1"/>
  <c r="E20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H18" i="1"/>
  <c r="G18" i="1"/>
  <c r="C18" i="1"/>
  <c r="L17" i="1"/>
  <c r="H17" i="4" l="1"/>
  <c r="I17" i="4" s="1"/>
  <c r="H17" i="3"/>
  <c r="I17" i="3" s="1"/>
  <c r="H17" i="2"/>
  <c r="I17" i="2" s="1"/>
  <c r="H17" i="5"/>
  <c r="F27" i="7"/>
  <c r="H17" i="9"/>
  <c r="I17" i="9" s="1"/>
  <c r="H17" i="10"/>
  <c r="I17" i="10" s="1"/>
  <c r="I17" i="8"/>
  <c r="F28" i="2"/>
  <c r="E29" i="3"/>
  <c r="O16" i="24"/>
  <c r="I18" i="24" s="1"/>
  <c r="I23" i="24" s="1"/>
  <c r="O15" i="24" s="1"/>
  <c r="G62" i="12"/>
  <c r="G64" i="12" s="1"/>
  <c r="G28" i="3"/>
  <c r="E21" i="8"/>
  <c r="G21" i="9"/>
  <c r="G20" i="7"/>
  <c r="O28" i="7"/>
  <c r="I18" i="1"/>
  <c r="H18" i="2"/>
  <c r="I18" i="2" s="1"/>
  <c r="G17" i="3"/>
  <c r="G27" i="3"/>
  <c r="E25" i="5"/>
  <c r="E27" i="5" s="1"/>
  <c r="I28" i="11"/>
  <c r="E51" i="12"/>
  <c r="G49" i="12"/>
  <c r="G51" i="12" s="1"/>
  <c r="E30" i="13"/>
  <c r="G36" i="14"/>
  <c r="I18" i="29"/>
  <c r="I17" i="16"/>
  <c r="F48" i="16"/>
  <c r="O16" i="26"/>
  <c r="I18" i="26" s="1"/>
  <c r="I22" i="26" s="1"/>
  <c r="O15" i="26" s="1"/>
  <c r="G21" i="3"/>
  <c r="G18" i="9"/>
  <c r="G29" i="9" s="1"/>
  <c r="G27" i="11"/>
  <c r="O42" i="12"/>
  <c r="G25" i="15"/>
  <c r="I25" i="15"/>
  <c r="E23" i="1"/>
  <c r="G20" i="4"/>
  <c r="G18" i="5"/>
  <c r="G25" i="6"/>
  <c r="G27" i="6" s="1"/>
  <c r="I23" i="11"/>
  <c r="G20" i="12"/>
  <c r="H50" i="12"/>
  <c r="I50" i="12" s="1"/>
  <c r="G22" i="18"/>
  <c r="G20" i="1"/>
  <c r="E17" i="1"/>
  <c r="I17" i="1" s="1"/>
  <c r="G18" i="8"/>
  <c r="E24" i="8"/>
  <c r="H34" i="18"/>
  <c r="I34" i="18" s="1"/>
  <c r="G23" i="18"/>
  <c r="G20" i="5"/>
  <c r="G23" i="5" s="1"/>
  <c r="O26" i="19"/>
  <c r="I24" i="19" s="1"/>
  <c r="I36" i="18"/>
  <c r="I38" i="18" s="1"/>
  <c r="I64" i="22"/>
  <c r="I69" i="22" s="1"/>
  <c r="G20" i="22" s="1"/>
  <c r="G64" i="22"/>
  <c r="G69" i="22" s="1"/>
  <c r="F20" i="22" s="1"/>
  <c r="G26" i="1"/>
  <c r="O30" i="7"/>
  <c r="G29" i="12"/>
  <c r="F29" i="12" s="1"/>
  <c r="O26" i="16"/>
  <c r="O27" i="28"/>
  <c r="G23" i="2"/>
  <c r="E20" i="5"/>
  <c r="E22" i="5"/>
  <c r="G22" i="5" s="1"/>
  <c r="H18" i="7"/>
  <c r="I18" i="7" s="1"/>
  <c r="G18" i="7"/>
  <c r="G22" i="7"/>
  <c r="I20" i="11"/>
  <c r="H20" i="12"/>
  <c r="H45" i="11"/>
  <c r="I45" i="11" s="1"/>
  <c r="O45" i="14"/>
  <c r="O42" i="17"/>
  <c r="O24" i="17"/>
  <c r="O23" i="2"/>
  <c r="O23" i="7"/>
  <c r="E27" i="1"/>
  <c r="G27" i="1" s="1"/>
  <c r="G22" i="9"/>
  <c r="F22" i="9" s="1"/>
  <c r="G45" i="12"/>
  <c r="E30" i="16"/>
  <c r="E36" i="16" s="1"/>
  <c r="I18" i="28"/>
  <c r="H17" i="19"/>
  <c r="I17" i="19" s="1"/>
  <c r="I17" i="17"/>
  <c r="I22" i="25"/>
  <c r="O15" i="25" s="1"/>
  <c r="F52" i="11"/>
  <c r="G52" i="11" s="1"/>
  <c r="I49" i="12"/>
  <c r="I51" i="12" s="1"/>
  <c r="E36" i="17"/>
  <c r="O45" i="17"/>
  <c r="G23" i="6"/>
  <c r="I18" i="12"/>
  <c r="H45" i="12"/>
  <c r="I45" i="12" s="1"/>
  <c r="G26" i="18"/>
  <c r="G27" i="18" s="1"/>
  <c r="O27" i="19"/>
  <c r="I25" i="19" s="1"/>
  <c r="O41" i="14"/>
  <c r="O43" i="14"/>
  <c r="G25" i="1"/>
  <c r="G28" i="1" s="1"/>
  <c r="E21" i="1"/>
  <c r="G21" i="1" s="1"/>
  <c r="E28" i="2"/>
  <c r="E29" i="2" s="1"/>
  <c r="E25" i="1"/>
  <c r="E17" i="8"/>
  <c r="G17" i="8" s="1"/>
  <c r="G20" i="8"/>
  <c r="E28" i="11"/>
  <c r="G49" i="11"/>
  <c r="I24" i="12"/>
  <c r="O45" i="12"/>
  <c r="G56" i="12"/>
  <c r="F35" i="13"/>
  <c r="I22" i="28"/>
  <c r="I24" i="28" s="1"/>
  <c r="I22" i="17"/>
  <c r="I24" i="17" s="1"/>
  <c r="O24" i="18"/>
  <c r="H19" i="19"/>
  <c r="I19" i="19" s="1"/>
  <c r="I31" i="18"/>
  <c r="I24" i="20"/>
  <c r="G24" i="20"/>
  <c r="G27" i="20" s="1"/>
  <c r="G36" i="12"/>
  <c r="I17" i="13"/>
  <c r="G17" i="13"/>
  <c r="I20" i="17"/>
  <c r="O27" i="29"/>
  <c r="G17" i="2"/>
  <c r="G23" i="3"/>
  <c r="F23" i="3" s="1"/>
  <c r="E23" i="7"/>
  <c r="E28" i="7" s="1"/>
  <c r="G22" i="11"/>
  <c r="G24" i="11" s="1"/>
  <c r="F51" i="11"/>
  <c r="G51" i="11" s="1"/>
  <c r="O25" i="11"/>
  <c r="G26" i="11"/>
  <c r="G28" i="11" s="1"/>
  <c r="G30" i="11" s="1"/>
  <c r="G31" i="11" s="1"/>
  <c r="E24" i="12"/>
  <c r="G23" i="12"/>
  <c r="G24" i="12" s="1"/>
  <c r="I24" i="14"/>
  <c r="G28" i="15"/>
  <c r="O28" i="5"/>
  <c r="O29" i="7"/>
  <c r="F42" i="11"/>
  <c r="G42" i="11" s="1"/>
  <c r="G17" i="11"/>
  <c r="G20" i="15"/>
  <c r="E30" i="15"/>
  <c r="G32" i="16"/>
  <c r="G35" i="16" s="1"/>
  <c r="E17" i="5"/>
  <c r="G17" i="5" s="1"/>
  <c r="I17" i="11"/>
  <c r="F45" i="11"/>
  <c r="G45" i="11" s="1"/>
  <c r="G20" i="11"/>
  <c r="G22" i="13"/>
  <c r="G24" i="13" s="1"/>
  <c r="E35" i="13"/>
  <c r="G40" i="16"/>
  <c r="G43" i="16" s="1"/>
  <c r="F43" i="16" s="1"/>
  <c r="G29" i="13"/>
  <c r="O42" i="13"/>
  <c r="O24" i="13"/>
  <c r="O26" i="13" s="1"/>
  <c r="O26" i="14" s="1"/>
  <c r="G29" i="16"/>
  <c r="I19" i="20"/>
  <c r="G19" i="20"/>
  <c r="I26" i="20"/>
  <c r="G26" i="20"/>
  <c r="O16" i="25"/>
  <c r="I18" i="25" s="1"/>
  <c r="G18" i="27"/>
  <c r="H40" i="28"/>
  <c r="I40" i="28" s="1"/>
  <c r="I42" i="28" s="1"/>
  <c r="G40" i="28"/>
  <c r="G42" i="28" s="1"/>
  <c r="G42" i="29"/>
  <c r="O30" i="6"/>
  <c r="G24" i="9"/>
  <c r="G26" i="9" s="1"/>
  <c r="G18" i="10"/>
  <c r="G29" i="10" s="1"/>
  <c r="G24" i="10"/>
  <c r="G26" i="10" s="1"/>
  <c r="H52" i="11"/>
  <c r="I52" i="11" s="1"/>
  <c r="I53" i="11" s="1"/>
  <c r="I55" i="11" s="1"/>
  <c r="O47" i="11" s="1"/>
  <c r="I27" i="11"/>
  <c r="H17" i="12"/>
  <c r="G20" i="13"/>
  <c r="G17" i="23"/>
  <c r="G20" i="23" s="1"/>
  <c r="H17" i="23"/>
  <c r="I17" i="23" s="1"/>
  <c r="G25" i="28"/>
  <c r="G36" i="29"/>
  <c r="H18" i="10"/>
  <c r="I18" i="10" s="1"/>
  <c r="E53" i="11"/>
  <c r="G35" i="15"/>
  <c r="O45" i="15"/>
  <c r="G27" i="16"/>
  <c r="I30" i="18"/>
  <c r="Q30" i="27"/>
  <c r="Q40" i="27" s="1"/>
  <c r="P30" i="27"/>
  <c r="I27" i="27" s="1"/>
  <c r="I25" i="28"/>
  <c r="I49" i="11"/>
  <c r="G24" i="14"/>
  <c r="I18" i="9"/>
  <c r="I22" i="11"/>
  <c r="I24" i="11" s="1"/>
  <c r="G19" i="18"/>
  <c r="H18" i="21"/>
  <c r="I18" i="21" s="1"/>
  <c r="G18" i="21"/>
  <c r="G22" i="21" s="1"/>
  <c r="Q31" i="27"/>
  <c r="R40" i="27" s="1"/>
  <c r="P31" i="27"/>
  <c r="I28" i="27" s="1"/>
  <c r="O45" i="16"/>
  <c r="G26" i="19"/>
  <c r="G28" i="19" s="1"/>
  <c r="O19" i="19" s="1"/>
  <c r="G35" i="22"/>
  <c r="G39" i="22" s="1"/>
  <c r="G42" i="22" s="1"/>
  <c r="F18" i="22" s="1"/>
  <c r="F23" i="22" s="1"/>
  <c r="G31" i="12"/>
  <c r="G34" i="12" s="1"/>
  <c r="I20" i="15"/>
  <c r="G27" i="15"/>
  <c r="G30" i="15" s="1"/>
  <c r="O24" i="16"/>
  <c r="I21" i="20"/>
  <c r="G21" i="20"/>
  <c r="E39" i="22"/>
  <c r="G27" i="27"/>
  <c r="G27" i="13"/>
  <c r="G25" i="17"/>
  <c r="G37" i="22"/>
  <c r="O24" i="14"/>
  <c r="I22" i="29"/>
  <c r="I24" i="29" s="1"/>
  <c r="I22" i="16"/>
  <c r="I24" i="16" s="1"/>
  <c r="G32" i="17"/>
  <c r="G35" i="17" s="1"/>
  <c r="G20" i="18"/>
  <c r="G30" i="28"/>
  <c r="G36" i="28" s="1"/>
  <c r="G37" i="28" s="1"/>
  <c r="G44" i="28" s="1"/>
  <c r="G24" i="29"/>
  <c r="G37" i="29" s="1"/>
  <c r="G44" i="29" s="1"/>
  <c r="O42" i="16"/>
  <c r="I29" i="18"/>
  <c r="I56" i="22"/>
  <c r="G19" i="22"/>
  <c r="G30" i="29"/>
  <c r="I33" i="18"/>
  <c r="E35" i="29"/>
  <c r="E36" i="29" s="1"/>
  <c r="N43" i="27"/>
  <c r="Q29" i="27"/>
  <c r="O19" i="9" l="1"/>
  <c r="O19" i="21"/>
  <c r="O19" i="10"/>
  <c r="O16" i="28"/>
  <c r="O24" i="28" s="1"/>
  <c r="G40" i="18"/>
  <c r="O19" i="26"/>
  <c r="O17" i="26"/>
  <c r="I40" i="18"/>
  <c r="O18" i="18" s="1"/>
  <c r="E36" i="15"/>
  <c r="O42" i="15"/>
  <c r="F28" i="1"/>
  <c r="G29" i="1"/>
  <c r="F23" i="2"/>
  <c r="O25" i="2" s="1"/>
  <c r="G29" i="2"/>
  <c r="E22" i="8"/>
  <c r="G21" i="8"/>
  <c r="G22" i="8" s="1"/>
  <c r="O41" i="16"/>
  <c r="O43" i="16"/>
  <c r="G30" i="13"/>
  <c r="O19" i="22"/>
  <c r="F26" i="9"/>
  <c r="G27" i="9"/>
  <c r="O17" i="25"/>
  <c r="O19" i="25"/>
  <c r="O43" i="17"/>
  <c r="O41" i="17"/>
  <c r="I26" i="19"/>
  <c r="I28" i="19" s="1"/>
  <c r="O18" i="19" s="1"/>
  <c r="O41" i="13"/>
  <c r="O43" i="13"/>
  <c r="G53" i="11"/>
  <c r="G55" i="11" s="1"/>
  <c r="O46" i="12"/>
  <c r="O44" i="12"/>
  <c r="F27" i="6"/>
  <c r="G28" i="6"/>
  <c r="I30" i="11"/>
  <c r="O18" i="11" s="1"/>
  <c r="I20" i="23"/>
  <c r="O18" i="23" s="1"/>
  <c r="E36" i="13"/>
  <c r="O45" i="13"/>
  <c r="I29" i="20"/>
  <c r="O18" i="20" s="1"/>
  <c r="I20" i="12"/>
  <c r="H47" i="12"/>
  <c r="I47" i="12" s="1"/>
  <c r="E26" i="8"/>
  <c r="G24" i="8"/>
  <c r="G26" i="8" s="1"/>
  <c r="G31" i="3"/>
  <c r="G30" i="27"/>
  <c r="H17" i="7"/>
  <c r="I17" i="7" s="1"/>
  <c r="I17" i="5"/>
  <c r="H17" i="6"/>
  <c r="I17" i="6" s="1"/>
  <c r="E28" i="5"/>
  <c r="O25" i="12"/>
  <c r="O19" i="4"/>
  <c r="G49" i="16"/>
  <c r="F23" i="6"/>
  <c r="G30" i="6"/>
  <c r="O25" i="9"/>
  <c r="G17" i="1"/>
  <c r="F30" i="15"/>
  <c r="I17" i="12"/>
  <c r="H44" i="12"/>
  <c r="I44" i="12" s="1"/>
  <c r="G31" i="2"/>
  <c r="G30" i="16"/>
  <c r="F30" i="16" s="1"/>
  <c r="E28" i="1"/>
  <c r="E29" i="1" s="1"/>
  <c r="O46" i="17"/>
  <c r="O44" i="17"/>
  <c r="G23" i="1"/>
  <c r="F23" i="1" s="1"/>
  <c r="O43" i="12"/>
  <c r="O41" i="12"/>
  <c r="G23" i="7"/>
  <c r="O19" i="24"/>
  <c r="O17" i="24"/>
  <c r="G29" i="20"/>
  <c r="F35" i="17"/>
  <c r="O25" i="17" s="1"/>
  <c r="G36" i="17"/>
  <c r="G38" i="17" s="1"/>
  <c r="O19" i="23"/>
  <c r="I18" i="23" s="1"/>
  <c r="G35" i="12"/>
  <c r="G37" i="12" s="1"/>
  <c r="O23" i="12" s="1"/>
  <c r="F34" i="12"/>
  <c r="O46" i="15"/>
  <c r="O44" i="15"/>
  <c r="G22" i="20"/>
  <c r="G38" i="14"/>
  <c r="G25" i="5"/>
  <c r="G27" i="5" s="1"/>
  <c r="I18" i="4"/>
  <c r="I20" i="4" s="1"/>
  <c r="O18" i="4" s="1"/>
  <c r="O46" i="14"/>
  <c r="O44" i="14"/>
  <c r="F28" i="3"/>
  <c r="G29" i="3"/>
  <c r="O44" i="16"/>
  <c r="O46" i="16"/>
  <c r="O25" i="3"/>
  <c r="G36" i="15"/>
  <c r="G38" i="15" s="1"/>
  <c r="F35" i="15"/>
  <c r="G27" i="10"/>
  <c r="F26" i="10"/>
  <c r="O25" i="10" s="1"/>
  <c r="G36" i="16"/>
  <c r="F35" i="16"/>
  <c r="E23" i="5"/>
  <c r="F23" i="5" s="1"/>
  <c r="O22" i="19" l="1"/>
  <c r="O20" i="19"/>
  <c r="F22" i="8"/>
  <c r="G29" i="8"/>
  <c r="O22" i="4"/>
  <c r="O20" i="4"/>
  <c r="F30" i="13"/>
  <c r="O25" i="13" s="1"/>
  <c r="G36" i="13"/>
  <c r="G38" i="13" s="1"/>
  <c r="O19" i="2"/>
  <c r="O46" i="13"/>
  <c r="O44" i="13"/>
  <c r="O19" i="18"/>
  <c r="F23" i="7"/>
  <c r="O25" i="7" s="1"/>
  <c r="O26" i="7" s="1"/>
  <c r="G30" i="7"/>
  <c r="G28" i="7"/>
  <c r="O37" i="12"/>
  <c r="O19" i="20"/>
  <c r="O20" i="20" s="1"/>
  <c r="F27" i="5"/>
  <c r="O25" i="5" s="1"/>
  <c r="G28" i="5"/>
  <c r="O23" i="20"/>
  <c r="O19" i="14"/>
  <c r="O37" i="14" s="1"/>
  <c r="O22" i="23"/>
  <c r="O20" i="23"/>
  <c r="O25" i="15"/>
  <c r="N37" i="1"/>
  <c r="O37" i="1" s="1"/>
  <c r="N36" i="1"/>
  <c r="O36" i="1" s="1"/>
  <c r="O25" i="1"/>
  <c r="O26" i="1" s="1"/>
  <c r="O26" i="5" s="1"/>
  <c r="N35" i="1"/>
  <c r="O35" i="1" s="1"/>
  <c r="G31" i="1"/>
  <c r="O22" i="11"/>
  <c r="O20" i="11"/>
  <c r="O19" i="15"/>
  <c r="O37" i="15" s="1"/>
  <c r="O16" i="27"/>
  <c r="I41" i="22"/>
  <c r="I19" i="21"/>
  <c r="I22" i="21" s="1"/>
  <c r="O18" i="21" s="1"/>
  <c r="O19" i="6"/>
  <c r="O19" i="3"/>
  <c r="N39" i="1"/>
  <c r="O39" i="1" s="1"/>
  <c r="N38" i="1"/>
  <c r="O38" i="1" s="1"/>
  <c r="N40" i="1"/>
  <c r="O40" i="1" s="1"/>
  <c r="O25" i="6"/>
  <c r="F26" i="8"/>
  <c r="G27" i="8"/>
  <c r="O41" i="15"/>
  <c r="O43" i="15"/>
  <c r="G30" i="5"/>
  <c r="G37" i="16"/>
  <c r="G51" i="16"/>
  <c r="O19" i="17"/>
  <c r="O37" i="17" s="1"/>
  <c r="O25" i="16"/>
  <c r="E27" i="8"/>
  <c r="O20" i="18"/>
  <c r="O22" i="18"/>
  <c r="O38" i="17" l="1"/>
  <c r="O19" i="5"/>
  <c r="H23" i="5" s="1"/>
  <c r="O19" i="13"/>
  <c r="O37" i="13" s="1"/>
  <c r="O39" i="12"/>
  <c r="O38" i="12"/>
  <c r="O40" i="12" s="1"/>
  <c r="O19" i="1"/>
  <c r="H23" i="1" s="1"/>
  <c r="H28" i="1" s="1"/>
  <c r="I45" i="22"/>
  <c r="O19" i="8"/>
  <c r="N39" i="8"/>
  <c r="N38" i="8"/>
  <c r="O25" i="8"/>
  <c r="O26" i="8" s="1"/>
  <c r="N37" i="8"/>
  <c r="N36" i="8"/>
  <c r="O36" i="8" s="1"/>
  <c r="O19" i="16"/>
  <c r="I21" i="27"/>
  <c r="I22" i="27"/>
  <c r="O19" i="7"/>
  <c r="O38" i="14"/>
  <c r="O40" i="14" s="1"/>
  <c r="O39" i="14"/>
  <c r="O20" i="21"/>
  <c r="O22" i="21"/>
  <c r="O38" i="15"/>
  <c r="I32" i="14" l="1"/>
  <c r="I34" i="14"/>
  <c r="I33" i="14"/>
  <c r="H21" i="3"/>
  <c r="I21" i="3" s="1"/>
  <c r="H21" i="2"/>
  <c r="I21" i="2" s="1"/>
  <c r="I21" i="1"/>
  <c r="H22" i="8"/>
  <c r="I26" i="1"/>
  <c r="H26" i="3"/>
  <c r="I26" i="3" s="1"/>
  <c r="H26" i="2"/>
  <c r="I26" i="2" s="1"/>
  <c r="I30" i="27"/>
  <c r="O15" i="27" s="1"/>
  <c r="I33" i="15"/>
  <c r="I34" i="15"/>
  <c r="I32" i="15"/>
  <c r="I22" i="1"/>
  <c r="H22" i="2"/>
  <c r="I22" i="2" s="1"/>
  <c r="H22" i="3"/>
  <c r="I22" i="3" s="1"/>
  <c r="I37" i="22"/>
  <c r="I35" i="22"/>
  <c r="I38" i="22"/>
  <c r="I36" i="22"/>
  <c r="I27" i="15"/>
  <c r="I29" i="15"/>
  <c r="I28" i="15"/>
  <c r="H27" i="3"/>
  <c r="I27" i="3" s="1"/>
  <c r="H27" i="2"/>
  <c r="I27" i="2" s="1"/>
  <c r="I27" i="1"/>
  <c r="I25" i="1"/>
  <c r="I28" i="1" s="1"/>
  <c r="H25" i="3"/>
  <c r="I25" i="3" s="1"/>
  <c r="I28" i="3" s="1"/>
  <c r="H25" i="2"/>
  <c r="I25" i="2" s="1"/>
  <c r="I28" i="2" s="1"/>
  <c r="I29" i="14"/>
  <c r="I27" i="14"/>
  <c r="I28" i="14"/>
  <c r="O38" i="13"/>
  <c r="O40" i="13" s="1"/>
  <c r="O39" i="13"/>
  <c r="H27" i="5"/>
  <c r="I20" i="1"/>
  <c r="H20" i="3"/>
  <c r="I20" i="3" s="1"/>
  <c r="H20" i="2"/>
  <c r="I20" i="2" s="1"/>
  <c r="I23" i="2" s="1"/>
  <c r="H23" i="2" s="1"/>
  <c r="I30" i="14" l="1"/>
  <c r="H30" i="14" s="1"/>
  <c r="H28" i="2"/>
  <c r="I29" i="2"/>
  <c r="I31" i="2" s="1"/>
  <c r="O18" i="2" s="1"/>
  <c r="H26" i="8"/>
  <c r="I29" i="13"/>
  <c r="I27" i="13"/>
  <c r="I28" i="13"/>
  <c r="I33" i="13"/>
  <c r="I32" i="13"/>
  <c r="I34" i="13"/>
  <c r="H29" i="28"/>
  <c r="I29" i="28" s="1"/>
  <c r="I29" i="17"/>
  <c r="I30" i="15"/>
  <c r="H30" i="15" s="1"/>
  <c r="H27" i="28"/>
  <c r="I27" i="28" s="1"/>
  <c r="I27" i="17"/>
  <c r="O19" i="27"/>
  <c r="O17" i="27"/>
  <c r="I39" i="22"/>
  <c r="I42" i="22" s="1"/>
  <c r="G18" i="22" s="1"/>
  <c r="G23" i="22" s="1"/>
  <c r="O18" i="22" s="1"/>
  <c r="O26" i="2"/>
  <c r="I27" i="12"/>
  <c r="H54" i="12"/>
  <c r="I54" i="12" s="1"/>
  <c r="I28" i="12"/>
  <c r="H55" i="12"/>
  <c r="I55" i="12" s="1"/>
  <c r="I23" i="1"/>
  <c r="I32" i="17"/>
  <c r="H32" i="28"/>
  <c r="I32" i="28" s="1"/>
  <c r="I33" i="12"/>
  <c r="H60" i="12"/>
  <c r="I60" i="12" s="1"/>
  <c r="H28" i="28"/>
  <c r="I28" i="28" s="1"/>
  <c r="I28" i="17"/>
  <c r="I35" i="14"/>
  <c r="I29" i="3"/>
  <c r="I31" i="3" s="1"/>
  <c r="O18" i="3" s="1"/>
  <c r="H28" i="3"/>
  <c r="I26" i="12"/>
  <c r="H53" i="12"/>
  <c r="I53" i="12" s="1"/>
  <c r="I56" i="12" s="1"/>
  <c r="I29" i="1"/>
  <c r="I31" i="1" s="1"/>
  <c r="O18" i="1" s="1"/>
  <c r="I23" i="3"/>
  <c r="H23" i="3" s="1"/>
  <c r="H33" i="28"/>
  <c r="I33" i="28" s="1"/>
  <c r="I33" i="17"/>
  <c r="I26" i="5"/>
  <c r="H26" i="6"/>
  <c r="I26" i="6" s="1"/>
  <c r="H26" i="7"/>
  <c r="I26" i="7" s="1"/>
  <c r="I35" i="15"/>
  <c r="I34" i="17"/>
  <c r="H34" i="28"/>
  <c r="I34" i="28" s="1"/>
  <c r="I31" i="12"/>
  <c r="I34" i="12" s="1"/>
  <c r="H58" i="12"/>
  <c r="I58" i="12" s="1"/>
  <c r="H22" i="6"/>
  <c r="I22" i="6" s="1"/>
  <c r="H22" i="7"/>
  <c r="I22" i="7" s="1"/>
  <c r="I22" i="5"/>
  <c r="H59" i="12"/>
  <c r="I59" i="12" s="1"/>
  <c r="I32" i="12"/>
  <c r="I29" i="12" l="1"/>
  <c r="H29" i="12" s="1"/>
  <c r="I35" i="13"/>
  <c r="O22" i="3"/>
  <c r="O20" i="3"/>
  <c r="O22" i="22"/>
  <c r="O20" i="22"/>
  <c r="H25" i="6"/>
  <c r="H25" i="7"/>
  <c r="I25" i="5"/>
  <c r="I27" i="5" s="1"/>
  <c r="I28" i="5" s="1"/>
  <c r="I30" i="5" s="1"/>
  <c r="O18" i="5" s="1"/>
  <c r="H20" i="7"/>
  <c r="I20" i="5"/>
  <c r="I23" i="5" s="1"/>
  <c r="H20" i="6"/>
  <c r="I30" i="28"/>
  <c r="H35" i="14"/>
  <c r="I36" i="14"/>
  <c r="I38" i="14" s="1"/>
  <c r="O18" i="14" s="1"/>
  <c r="I35" i="28"/>
  <c r="I36" i="28" s="1"/>
  <c r="I37" i="28" s="1"/>
  <c r="H21" i="7"/>
  <c r="H21" i="6"/>
  <c r="I21" i="5"/>
  <c r="O26" i="3"/>
  <c r="I35" i="17"/>
  <c r="O22" i="2"/>
  <c r="O20" i="2"/>
  <c r="H34" i="12"/>
  <c r="I35" i="12"/>
  <c r="I37" i="12" s="1"/>
  <c r="O18" i="12" s="1"/>
  <c r="H35" i="15"/>
  <c r="I36" i="15"/>
  <c r="I38" i="15" s="1"/>
  <c r="O18" i="15" s="1"/>
  <c r="I20" i="8"/>
  <c r="H20" i="10"/>
  <c r="I20" i="10" s="1"/>
  <c r="H24" i="8"/>
  <c r="H20" i="9"/>
  <c r="I20" i="9" s="1"/>
  <c r="I30" i="13"/>
  <c r="H30" i="13" s="1"/>
  <c r="I30" i="17"/>
  <c r="H30" i="17" s="1"/>
  <c r="I61" i="12"/>
  <c r="I62" i="12" s="1"/>
  <c r="I64" i="12" s="1"/>
  <c r="O54" i="12" s="1"/>
  <c r="O20" i="1"/>
  <c r="O22" i="1"/>
  <c r="I20" i="7" l="1"/>
  <c r="O31" i="7"/>
  <c r="I36" i="17"/>
  <c r="I38" i="17" s="1"/>
  <c r="O18" i="17" s="1"/>
  <c r="H35" i="17"/>
  <c r="I25" i="6"/>
  <c r="I27" i="6" s="1"/>
  <c r="O33" i="6"/>
  <c r="O31" i="6"/>
  <c r="I20" i="6"/>
  <c r="I23" i="6" s="1"/>
  <c r="H23" i="6" s="1"/>
  <c r="O33" i="7"/>
  <c r="I25" i="7"/>
  <c r="I27" i="7" s="1"/>
  <c r="O25" i="28"/>
  <c r="O26" i="28" s="1"/>
  <c r="O28" i="28" s="1"/>
  <c r="I44" i="28"/>
  <c r="O15" i="28" s="1"/>
  <c r="O32" i="7"/>
  <c r="I21" i="7"/>
  <c r="O20" i="15"/>
  <c r="O22" i="15"/>
  <c r="O22" i="14"/>
  <c r="O20" i="14"/>
  <c r="O20" i="5"/>
  <c r="O22" i="5"/>
  <c r="I24" i="8"/>
  <c r="H24" i="10"/>
  <c r="I24" i="10" s="1"/>
  <c r="H24" i="9"/>
  <c r="I24" i="9" s="1"/>
  <c r="O38" i="8"/>
  <c r="O32" i="6"/>
  <c r="I21" i="6"/>
  <c r="H35" i="13"/>
  <c r="I36" i="13"/>
  <c r="I38" i="13" s="1"/>
  <c r="O18" i="13" s="1"/>
  <c r="O22" i="12"/>
  <c r="O20" i="12"/>
  <c r="H27" i="7" l="1"/>
  <c r="O20" i="13"/>
  <c r="O22" i="13"/>
  <c r="O20" i="17"/>
  <c r="O22" i="17"/>
  <c r="H21" i="9"/>
  <c r="I21" i="9" s="1"/>
  <c r="I22" i="9" s="1"/>
  <c r="H22" i="9" s="1"/>
  <c r="H21" i="10"/>
  <c r="I21" i="10" s="1"/>
  <c r="I22" i="10" s="1"/>
  <c r="H22" i="10" s="1"/>
  <c r="O37" i="8"/>
  <c r="I21" i="8"/>
  <c r="I22" i="8" s="1"/>
  <c r="O19" i="28"/>
  <c r="O17" i="28"/>
  <c r="H27" i="6"/>
  <c r="O26" i="6" s="1"/>
  <c r="I28" i="6"/>
  <c r="I30" i="6" s="1"/>
  <c r="O18" i="6" s="1"/>
  <c r="I23" i="7"/>
  <c r="H23" i="7" s="1"/>
  <c r="H25" i="10" l="1"/>
  <c r="I25" i="10" s="1"/>
  <c r="I26" i="10" s="1"/>
  <c r="O39" i="8"/>
  <c r="H25" i="9"/>
  <c r="I25" i="9" s="1"/>
  <c r="I26" i="9" s="1"/>
  <c r="I25" i="8"/>
  <c r="I26" i="8" s="1"/>
  <c r="I27" i="8" s="1"/>
  <c r="I29" i="8" s="1"/>
  <c r="O18" i="8" s="1"/>
  <c r="I28" i="7"/>
  <c r="I30" i="7" s="1"/>
  <c r="O18" i="7" s="1"/>
  <c r="O22" i="6"/>
  <c r="O20" i="6"/>
  <c r="O20" i="7" l="1"/>
  <c r="O22" i="7"/>
  <c r="O22" i="8"/>
  <c r="O20" i="8"/>
  <c r="H26" i="10"/>
  <c r="O26" i="10" s="1"/>
  <c r="I27" i="10"/>
  <c r="I29" i="10" s="1"/>
  <c r="O18" i="10" s="1"/>
  <c r="H26" i="9"/>
  <c r="O26" i="9" s="1"/>
  <c r="I27" i="9"/>
  <c r="I29" i="9" s="1"/>
  <c r="O18" i="9" s="1"/>
  <c r="O22" i="9" l="1"/>
  <c r="O20" i="9"/>
  <c r="O20" i="10"/>
  <c r="O22" i="10"/>
  <c r="I27" i="16" l="1"/>
  <c r="I28" i="16"/>
  <c r="I29" i="16"/>
  <c r="I30" i="16"/>
  <c r="H30" i="16" s="1"/>
  <c r="I32" i="16"/>
  <c r="I35" i="16" s="1"/>
  <c r="I33" i="16"/>
  <c r="I34" i="16"/>
  <c r="I40" i="16"/>
  <c r="I43" i="16" s="1"/>
  <c r="H43" i="16" s="1"/>
  <c r="I41" i="16"/>
  <c r="I42" i="16"/>
  <c r="I45" i="16"/>
  <c r="I48" i="16" s="1"/>
  <c r="I46" i="16"/>
  <c r="I47" i="16"/>
  <c r="I27" i="29"/>
  <c r="I28" i="29"/>
  <c r="I29" i="29"/>
  <c r="I30" i="29" s="1"/>
  <c r="I32" i="29"/>
  <c r="I33" i="29"/>
  <c r="I34" i="29"/>
  <c r="I35" i="29"/>
  <c r="I40" i="29"/>
  <c r="I42" i="29" s="1"/>
  <c r="I36" i="29" l="1"/>
  <c r="I37" i="29"/>
  <c r="H48" i="16"/>
  <c r="I49" i="16"/>
  <c r="O37" i="16" s="1"/>
  <c r="O38" i="16" s="1"/>
  <c r="H35" i="16"/>
  <c r="I36" i="16"/>
  <c r="I51" i="16" l="1"/>
  <c r="O18" i="16" s="1"/>
  <c r="I37" i="16"/>
  <c r="I44" i="29"/>
  <c r="O15" i="29" s="1"/>
  <c r="O25" i="29"/>
  <c r="O26" i="29" s="1"/>
  <c r="O28" i="29" s="1"/>
  <c r="O21" i="29" l="1"/>
  <c r="O17" i="29"/>
  <c r="O20" i="16"/>
  <c r="O22" i="16"/>
</calcChain>
</file>

<file path=xl/sharedStrings.xml><?xml version="1.0" encoding="utf-8"?>
<sst xmlns="http://schemas.openxmlformats.org/spreadsheetml/2006/main" count="2200" uniqueCount="249">
  <si>
    <t>Residential Service</t>
  </si>
  <si>
    <t>Schedule 1 and Schedule 6</t>
  </si>
  <si>
    <t>Column</t>
  </si>
  <si>
    <t>(A)</t>
  </si>
  <si>
    <t>(B)</t>
  </si>
  <si>
    <t>(C)</t>
  </si>
  <si>
    <t>(D)</t>
  </si>
  <si>
    <t>(E)</t>
  </si>
  <si>
    <t>(F)</t>
  </si>
  <si>
    <t>Test Year</t>
  </si>
  <si>
    <t>Current</t>
  </si>
  <si>
    <t>Proposed</t>
  </si>
  <si>
    <t>Line</t>
  </si>
  <si>
    <t>Billing</t>
  </si>
  <si>
    <t>Base</t>
  </si>
  <si>
    <t>Effective</t>
  </si>
  <si>
    <t>No.</t>
  </si>
  <si>
    <t>Description</t>
  </si>
  <si>
    <t>Units</t>
  </si>
  <si>
    <t>Rate</t>
  </si>
  <si>
    <t>Revenue</t>
  </si>
  <si>
    <t>Service Charge</t>
  </si>
  <si>
    <t>Minimum Charge</t>
  </si>
  <si>
    <t>In Adjusted Base Revenue</t>
  </si>
  <si>
    <t>Summer Energy (Jun-Sep)</t>
  </si>
  <si>
    <t>Target Adjusted Base Revenue</t>
  </si>
  <si>
    <t>First 800 kWh</t>
  </si>
  <si>
    <t>D</t>
  </si>
  <si>
    <t>801-2,000 kWh</t>
  </si>
  <si>
    <t>All Additional kWh</t>
  </si>
  <si>
    <t>Adjusted Base Revenue Change</t>
  </si>
  <si>
    <t>Subtotal - Summer Energy</t>
  </si>
  <si>
    <t>Non-Summer Energy (Oct-May)</t>
  </si>
  <si>
    <t>Season Cost Ratio (Unit Cost Sheet)</t>
  </si>
  <si>
    <t>Season Energy Rate Differential - Current</t>
  </si>
  <si>
    <t>Season Energy Rate Differential - Proposed</t>
  </si>
  <si>
    <t>Residential - Distribution + Customer</t>
  </si>
  <si>
    <t>Subtotal - Non-Summer Energy</t>
  </si>
  <si>
    <t>Residential - Meter Readings</t>
  </si>
  <si>
    <t>Subtotal - Total Energy</t>
  </si>
  <si>
    <t>Residential CCOS - Service Charge</t>
  </si>
  <si>
    <t>Transfer Adjustment Revenue</t>
  </si>
  <si>
    <t>Step</t>
  </si>
  <si>
    <t>Total Adjusted Base Revenue</t>
  </si>
  <si>
    <t>Check vs. Revenue Forecast</t>
  </si>
  <si>
    <r>
      <rPr>
        <b/>
        <sz val="9"/>
        <rFont val="Wingdings"/>
        <charset val="2"/>
      </rPr>
      <t>§</t>
    </r>
    <r>
      <rPr>
        <b/>
        <sz val="9"/>
        <rFont val="Times New Roman"/>
        <family val="1"/>
      </rPr>
      <t xml:space="preserve"> </t>
    </r>
    <r>
      <rPr>
        <b/>
        <sz val="9"/>
        <rFont val="Calibri Light"/>
        <family val="2"/>
        <scheme val="major"/>
      </rPr>
      <t>END</t>
    </r>
  </si>
  <si>
    <t>§</t>
  </si>
  <si>
    <r>
      <rPr>
        <b/>
        <sz val="9"/>
        <rFont val="Calibri Light"/>
        <family val="2"/>
        <scheme val="major"/>
      </rPr>
      <t xml:space="preserve">END </t>
    </r>
    <r>
      <rPr>
        <b/>
        <sz val="9"/>
        <rFont val="Wingdings"/>
        <charset val="2"/>
      </rPr>
      <t>§</t>
    </r>
  </si>
  <si>
    <t>Energy Tier Ratio</t>
  </si>
  <si>
    <t>Summer Tier 1</t>
  </si>
  <si>
    <t>Summer Tier 2</t>
  </si>
  <si>
    <t>Summer Tier 3</t>
  </si>
  <si>
    <t>Non-Summer Tier 1</t>
  </si>
  <si>
    <t>Non-Summer Tier 2</t>
  </si>
  <si>
    <t>Non-Summer Tier 3</t>
  </si>
  <si>
    <t>Rounding Adjustment</t>
  </si>
  <si>
    <t>Residential Service Standard Plan</t>
  </si>
  <si>
    <t>Schedule 1</t>
  </si>
  <si>
    <t>.</t>
  </si>
  <si>
    <t>Residential Service On-Site Generation</t>
  </si>
  <si>
    <t>Schedule 6</t>
  </si>
  <si>
    <t>Master-Metered Mobile Home Park Residential Service</t>
  </si>
  <si>
    <t>Schedule 3</t>
  </si>
  <si>
    <t>Total Energy</t>
  </si>
  <si>
    <t>Residential Service - Time-of-Use</t>
  </si>
  <si>
    <t>Schedule 5 + 6 TOU</t>
  </si>
  <si>
    <t>On-Peak</t>
  </si>
  <si>
    <t>Mid-Peak</t>
  </si>
  <si>
    <t>Off-Peak</t>
  </si>
  <si>
    <t>On:Off Differential - Summer (Current)</t>
  </si>
  <si>
    <t>Mid:Off Differential - Summer (Current)</t>
  </si>
  <si>
    <t>On:Off Differential - Non-Summer (Current)</t>
  </si>
  <si>
    <t>On:Off Differential - Summer (Proposed)</t>
  </si>
  <si>
    <t>Mid:Off Differential - Summer (Proposed)</t>
  </si>
  <si>
    <t>On:Off Differential - Non-Summer (Proposed)</t>
  </si>
  <si>
    <t>Residential Service - Time-of-Use Plan</t>
  </si>
  <si>
    <t>Schedule 5</t>
  </si>
  <si>
    <t>Schedule 6 TOU</t>
  </si>
  <si>
    <t>Small General Service</t>
  </si>
  <si>
    <t>Schedule 7 and Schedule 8</t>
  </si>
  <si>
    <t>First 300 kWh</t>
  </si>
  <si>
    <t>Small General - Distribution + Customer</t>
  </si>
  <si>
    <t>Small General - Meter Readings</t>
  </si>
  <si>
    <t>CCOS - Service Charge</t>
  </si>
  <si>
    <t>Schedule 7</t>
  </si>
  <si>
    <t xml:space="preserve"> </t>
  </si>
  <si>
    <t>Small General Service On-Site Generation</t>
  </si>
  <si>
    <t>Schedule 8</t>
  </si>
  <si>
    <t>Large General Service</t>
  </si>
  <si>
    <t>Schedule 9 Secondary Service - Standard (Default)</t>
  </si>
  <si>
    <t>Basic Charge</t>
  </si>
  <si>
    <t>Total Basic Charge</t>
  </si>
  <si>
    <t>Demand Charge</t>
  </si>
  <si>
    <t>Summer (Jun-Sep)</t>
  </si>
  <si>
    <t>Non-Summer (Oct-May)</t>
  </si>
  <si>
    <t>Total Demand</t>
  </si>
  <si>
    <t>Season Energy Rate Differential - Unit Cost Sheet</t>
  </si>
  <si>
    <t>Energy Charge</t>
  </si>
  <si>
    <t>Season Energy Rate Deffendall Current</t>
  </si>
  <si>
    <t>Schedule 9 Secondary Service - Time-of-Use (Optional)</t>
  </si>
  <si>
    <t>TOU Differentials</t>
  </si>
  <si>
    <t>Summer On:Mid</t>
  </si>
  <si>
    <t>Summer Off:Mid</t>
  </si>
  <si>
    <t>Non-Summer On:Mid</t>
  </si>
  <si>
    <t>Non-Summer Off:Mid</t>
  </si>
  <si>
    <t>Fixed and Variable Costs in Energy (Proposed)</t>
  </si>
  <si>
    <t>Variable Cost in Energy - Summer</t>
  </si>
  <si>
    <t>Variable Cost in Energy - Non-Summer</t>
  </si>
  <si>
    <t>Average Energy Rate - Summer</t>
  </si>
  <si>
    <t>Average Energy Rate - Non-Sumer</t>
  </si>
  <si>
    <t>Fixed Cost in Energy - Summer</t>
  </si>
  <si>
    <t>Fixed Cost in Energy - Non-Summer</t>
  </si>
  <si>
    <t>Variable Cost in Energy - Summer On-Peak</t>
  </si>
  <si>
    <t>Variable Cost in Energy - Summer Mid-Peak</t>
  </si>
  <si>
    <t>Variable Cost in Energy - Summer Off-Peak</t>
  </si>
  <si>
    <t>Variable Cost in Energy - Non-Summer On-Peak</t>
  </si>
  <si>
    <t>Variable Cost in Energy - Non-Summer Mid-Peak</t>
  </si>
  <si>
    <t>Variable Cost in Energy - Non-Summer Off-Peak</t>
  </si>
  <si>
    <t>Schedule 9 Primary Service</t>
  </si>
  <si>
    <t>On-Peak Summer Demand (Jun-Sep)</t>
  </si>
  <si>
    <t>Schedule 9 Transmission Service</t>
  </si>
  <si>
    <t>Large Power Service</t>
  </si>
  <si>
    <t>Schedule 19 Secondary Service</t>
  </si>
  <si>
    <t>Schedule 19 Primary Service</t>
  </si>
  <si>
    <t>Subtotal -Summer Energy</t>
  </si>
  <si>
    <t>Subtotal 19P Excluding Clean Energy Your Way</t>
  </si>
  <si>
    <t>Schedule 62 Clean Energy Your Way - Optional</t>
  </si>
  <si>
    <t>Summer Embedded Energy Fixed Cost  (June-Sep)</t>
  </si>
  <si>
    <t>Subtotal - Summer Embedded Energy Fixed Cost</t>
  </si>
  <si>
    <t>Non-Summer Embedded Energy Fixed Cost  (Oct-May)</t>
  </si>
  <si>
    <t>Subtotal - Non-Summer Embedded Energy Fixed Cost</t>
  </si>
  <si>
    <t>Subtotal - Total Embedded Energy Fixed Cost</t>
  </si>
  <si>
    <t>Schedule 19 Transmission Service</t>
  </si>
  <si>
    <t>Agricultural Irrigation Service</t>
  </si>
  <si>
    <t>Schedule 24 Secondary Service</t>
  </si>
  <si>
    <t>Current Season - Meter Read Cycle</t>
  </si>
  <si>
    <t>Service Charge In-Season</t>
  </si>
  <si>
    <t>Service Charge Out-of-Season</t>
  </si>
  <si>
    <t>Demand Charge (Current Season)</t>
  </si>
  <si>
    <t>In-Season</t>
  </si>
  <si>
    <t>Out-of-Season</t>
  </si>
  <si>
    <t>Energy Charge (Current Season)</t>
  </si>
  <si>
    <t>Proposed Season - Calendar Month</t>
  </si>
  <si>
    <t>Demand Charge (Proposed Season)</t>
  </si>
  <si>
    <t>Energy Charge (Proposed Season)</t>
  </si>
  <si>
    <t>Schedule 24 Transmission Service</t>
  </si>
  <si>
    <t>Demand Charge Change</t>
  </si>
  <si>
    <t>In-Season Energy Charge Change</t>
  </si>
  <si>
    <t>Out-of-Season Energy Charge Change</t>
  </si>
  <si>
    <t>Dusk to Dawn Customer Lighting</t>
  </si>
  <si>
    <t>Schedule 15</t>
  </si>
  <si>
    <t>Annual</t>
  </si>
  <si>
    <t>Lamps</t>
  </si>
  <si>
    <t>Area Lighting</t>
  </si>
  <si>
    <t>40 Watt Max</t>
  </si>
  <si>
    <t>85 Watt Max</t>
  </si>
  <si>
    <t>200 Watt Max</t>
  </si>
  <si>
    <t>Subtotal - Lamps</t>
  </si>
  <si>
    <t>Flood Lighting</t>
  </si>
  <si>
    <t>150 Watt Max</t>
  </si>
  <si>
    <t>300 Watt Max</t>
  </si>
  <si>
    <t>Check vs Revenue Forecast</t>
  </si>
  <si>
    <t>Non-Metered General Service</t>
  </si>
  <si>
    <t>Schedule 40</t>
  </si>
  <si>
    <t>Minimum Bills</t>
  </si>
  <si>
    <t>Intermittent Usage</t>
  </si>
  <si>
    <t>Minimum Bill Adjustment</t>
  </si>
  <si>
    <t>Intermittent Usage Adj</t>
  </si>
  <si>
    <t>Street Lighting Service</t>
  </si>
  <si>
    <t>Schedule 41 - Summary</t>
  </si>
  <si>
    <t xml:space="preserve">Test Year </t>
  </si>
  <si>
    <t>Usage</t>
  </si>
  <si>
    <t>A - Company-Owned, Non-Metered, Maintenance</t>
  </si>
  <si>
    <t>C - Customer-Owned,  Non-Metered, No Maintenance</t>
  </si>
  <si>
    <t>CM - Customer-Owned, Metered, No Maintenance</t>
  </si>
  <si>
    <t>Total kWh</t>
  </si>
  <si>
    <t>LED Fixture</t>
  </si>
  <si>
    <t>40W Max</t>
  </si>
  <si>
    <t>85W Max</t>
  </si>
  <si>
    <t>140W Max</t>
  </si>
  <si>
    <t>200W Max</t>
  </si>
  <si>
    <t>Total LED</t>
  </si>
  <si>
    <t>Non-Metered - Variable Energy Use</t>
  </si>
  <si>
    <t>NM Adj</t>
  </si>
  <si>
    <t>Per kWh</t>
  </si>
  <si>
    <t>Service Charge per Meter</t>
  </si>
  <si>
    <t>Traffic Control Signal Lighting Service</t>
  </si>
  <si>
    <t>Schedule 42</t>
  </si>
  <si>
    <t>Micron Technology, Inc.</t>
  </si>
  <si>
    <t>Schedule 26</t>
  </si>
  <si>
    <t>Contract Demand</t>
  </si>
  <si>
    <t>Billing Demand</t>
  </si>
  <si>
    <t>Excess Demand</t>
  </si>
  <si>
    <t>Embedded Energy Fixed Cost</t>
  </si>
  <si>
    <t>Contract Demand Charge</t>
  </si>
  <si>
    <t>Production Energy Costs</t>
  </si>
  <si>
    <t>Transmission Energy Costs</t>
  </si>
  <si>
    <t>Distribution Energy Costs</t>
  </si>
  <si>
    <t>Customer Energy Costs</t>
  </si>
  <si>
    <t>Total Energy Costs</t>
  </si>
  <si>
    <t>J.R. Simplot Company - Pocatello</t>
  </si>
  <si>
    <t>Schedule 29</t>
  </si>
  <si>
    <t>United States Department of Energy</t>
  </si>
  <si>
    <t>Schedule 30</t>
  </si>
  <si>
    <t>J.R. Simplot Company - Caldwell</t>
  </si>
  <si>
    <t>Schedule 32</t>
  </si>
  <si>
    <t>Summer</t>
  </si>
  <si>
    <t>Non-Summer</t>
  </si>
  <si>
    <t>Energy</t>
  </si>
  <si>
    <t>Unit Costs &amp; Calculations</t>
  </si>
  <si>
    <t>CCOS Dollars</t>
  </si>
  <si>
    <t>KWH</t>
  </si>
  <si>
    <t>Price per kWH</t>
  </si>
  <si>
    <t>% of CCOS by season</t>
  </si>
  <si>
    <t>Production</t>
  </si>
  <si>
    <t>Demand - S</t>
  </si>
  <si>
    <t>Demand - NS</t>
  </si>
  <si>
    <t>Energy - S</t>
  </si>
  <si>
    <t>Energy - NS</t>
  </si>
  <si>
    <t>Transmission</t>
  </si>
  <si>
    <t>Demand</t>
  </si>
  <si>
    <t>Distribution</t>
  </si>
  <si>
    <t>Customer</t>
  </si>
  <si>
    <t>Total KWH</t>
  </si>
  <si>
    <t>Summer Allocation</t>
  </si>
  <si>
    <t>Non Summer Allocation</t>
  </si>
  <si>
    <t>Misc</t>
  </si>
  <si>
    <t>Total</t>
  </si>
  <si>
    <t>Total Demand &amp; Customer</t>
  </si>
  <si>
    <t>Brisbie, LLC.</t>
  </si>
  <si>
    <t>Schedule 33</t>
  </si>
  <si>
    <t>Block 1</t>
  </si>
  <si>
    <t>Demand Charges</t>
  </si>
  <si>
    <t>Revenue Requirement</t>
  </si>
  <si>
    <t>Proposed Block 1</t>
  </si>
  <si>
    <t>Remaining Cost for Block 2 capacity</t>
  </si>
  <si>
    <t>Contract Demand Recovery</t>
  </si>
  <si>
    <t>Remaining Cost to collect via demand</t>
  </si>
  <si>
    <t>Subtotal - Block 1</t>
  </si>
  <si>
    <t>Block 2</t>
  </si>
  <si>
    <t>Subtotal - Block 2</t>
  </si>
  <si>
    <t>Lamb Weston, Inc.</t>
  </si>
  <si>
    <t>Schedule 34</t>
  </si>
  <si>
    <t>Proposed 19P Revenue</t>
  </si>
  <si>
    <t>Idaho Power Company</t>
  </si>
  <si>
    <t>Calculation of Proposed Rates</t>
  </si>
  <si>
    <t>Filed May 30, 2025</t>
  </si>
  <si>
    <t>IPC-E-25-16</t>
  </si>
  <si>
    <t>State of Idaho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</si>
</sst>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00000_);_(&quot;$&quot;* \(#,##0.000000\);_(&quot;$&quot;* &quot;-&quot;??????_);_(@_)"/>
    <numFmt numFmtId="166" formatCode="_(* #,##0.000000_);_(* \(#,##0.000000\);_(* &quot;-&quot;??????_);_(@_)"/>
    <numFmt numFmtId="167" formatCode="###0.00%_);\(###0.00%\)"/>
    <numFmt numFmtId="168" formatCode="_(* #,##0.000000_);_(* \(#,##0.000000\);_(* &quot;-&quot;??_);_(@_)"/>
    <numFmt numFmtId="169" formatCode="0.00\x"/>
    <numFmt numFmtId="170" formatCode="_(* #,##0.000_);_(* \(#,##0.000\);_(* &quot;-&quot;???_);_(@_)"/>
    <numFmt numFmtId="171" formatCode="0.0%"/>
    <numFmt numFmtId="172" formatCode="0.000%"/>
    <numFmt numFmtId="173" formatCode="###0.0%_);\(###0.0%\)"/>
    <numFmt numFmtId="174" formatCode="_(&quot;$&quot;* #,##0.00_);_(&quot;$&quot;* \(#,##0.00\);_(&quot;$&quot;* &quot;-&quot;??????_);_(@_)"/>
    <numFmt numFmtId="175" formatCode="_(&quot;$&quot;* #,##0.000000_);_(&quot;$&quot;* \(#,##0.000000\);_(&quot;$&quot;* &quot;-&quot;??_);_(@_)"/>
    <numFmt numFmtId="176" formatCode="&quot;$&quot;#,##0"/>
    <numFmt numFmtId="177" formatCode="_(&quot;$&quot;* #,##0_);_(&quot;$&quot;* \(#,##0\);_(&quot;$&quot;* &quot;-&quot;??_);_(@_)"/>
    <numFmt numFmtId="178" formatCode="&quot;$&quot;#,##0.00"/>
    <numFmt numFmtId="179" formatCode="#,##0.000000_);\(#,##0.000000\)"/>
    <numFmt numFmtId="180" formatCode="_(* #,##0.000_);_(* \(#,##0.000\);_(* &quot;-&quot;??_);_(@_)"/>
    <numFmt numFmtId="181" formatCode="_(&quot;$&quot;* #,##0.000_);_(&quot;$&quot;* \(#,##0.000\);_(&quot;$&quot;* &quot;-&quot;??_);_(@_)"/>
  </numFmts>
  <fonts count="22">
    <font>
      <sz val="9"/>
      <color theme="1"/>
      <name val="Arial Nova"/>
      <family val="2"/>
    </font>
    <font>
      <sz val="11"/>
      <color theme="1"/>
      <name val="Calibri"/>
      <family val="2"/>
      <scheme val="minor"/>
    </font>
    <font>
      <sz val="9"/>
      <color theme="1"/>
      <name val="Arial Nova"/>
      <family val="2"/>
    </font>
    <font>
      <b/>
      <sz val="9"/>
      <name val="Arial Nova"/>
      <family val="2"/>
    </font>
    <font>
      <sz val="9"/>
      <name val="Arial Nova"/>
      <family val="2"/>
    </font>
    <font>
      <sz val="9"/>
      <name val="Calibri Light"/>
      <family val="2"/>
      <scheme val="major"/>
    </font>
    <font>
      <b/>
      <sz val="9"/>
      <name val="Calibri Light"/>
      <family val="2"/>
      <scheme val="major"/>
    </font>
    <font>
      <b/>
      <u val="singleAccounting"/>
      <sz val="9"/>
      <name val="Calibri Light"/>
      <family val="2"/>
      <scheme val="major"/>
    </font>
    <font>
      <b/>
      <u/>
      <sz val="9"/>
      <name val="Arial Nova"/>
      <family val="2"/>
    </font>
    <font>
      <u/>
      <sz val="9"/>
      <name val="Arial Nova"/>
      <family val="2"/>
    </font>
    <font>
      <sz val="9"/>
      <name val="Symbol"/>
      <family val="1"/>
      <charset val="2"/>
    </font>
    <font>
      <u val="singleAccounting"/>
      <sz val="9"/>
      <name val="Arial Nova"/>
      <family val="2"/>
    </font>
    <font>
      <b/>
      <sz val="9"/>
      <name val="Times New Roman"/>
      <family val="1"/>
      <charset val="2"/>
    </font>
    <font>
      <b/>
      <sz val="9"/>
      <name val="Wingdings"/>
      <charset val="2"/>
    </font>
    <font>
      <b/>
      <sz val="9"/>
      <name val="Times New Roman"/>
      <family val="1"/>
    </font>
    <font>
      <b/>
      <sz val="9"/>
      <name val="Times New Roman"/>
      <family val="2"/>
      <charset val="2"/>
    </font>
    <font>
      <i/>
      <sz val="9"/>
      <name val="Calibri Light"/>
      <family val="2"/>
      <scheme val="major"/>
    </font>
    <font>
      <i/>
      <sz val="9"/>
      <name val="Arial Nova"/>
      <family val="2"/>
    </font>
    <font>
      <sz val="10"/>
      <name val="Helv"/>
    </font>
    <font>
      <b/>
      <u/>
      <sz val="9"/>
      <name val="Calibri Light"/>
      <family val="2"/>
      <scheme val="major"/>
    </font>
    <font>
      <u val="singleAccounting"/>
      <sz val="9"/>
      <name val="Calibri Light"/>
      <family val="2"/>
      <scheme val="major"/>
    </font>
    <font>
      <u/>
      <sz val="9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lightGray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44" fontId="1" fillId="0" borderId="0" applyFont="0" applyFill="0" applyBorder="0" applyAlignment="0" applyProtection="0"/>
  </cellStyleXfs>
  <cellXfs count="169">
    <xf numFmtId="0" fontId="0" fillId="0" borderId="0" xfId="0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1" applyNumberFormat="1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1" fontId="4" fillId="0" borderId="0" xfId="0" applyNumberFormat="1" applyFont="1"/>
    <xf numFmtId="0" fontId="5" fillId="0" borderId="0" xfId="4" applyFont="1"/>
    <xf numFmtId="0" fontId="6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37" fontId="4" fillId="0" borderId="0" xfId="0" applyNumberFormat="1" applyFont="1" applyAlignment="1">
      <alignment horizontal="center"/>
    </xf>
    <xf numFmtId="44" fontId="4" fillId="0" borderId="0" xfId="0" applyNumberFormat="1" applyFont="1"/>
    <xf numFmtId="42" fontId="4" fillId="0" borderId="0" xfId="0" applyNumberFormat="1" applyFont="1"/>
    <xf numFmtId="0" fontId="8" fillId="0" borderId="2" xfId="0" applyFont="1" applyBorder="1"/>
    <xf numFmtId="0" fontId="4" fillId="0" borderId="3" xfId="0" applyFont="1" applyBorder="1"/>
    <xf numFmtId="0" fontId="4" fillId="0" borderId="4" xfId="0" applyFont="1" applyBorder="1"/>
    <xf numFmtId="43" fontId="4" fillId="0" borderId="0" xfId="0" applyNumberFormat="1" applyFont="1"/>
    <xf numFmtId="0" fontId="4" fillId="0" borderId="5" xfId="0" applyFont="1" applyBorder="1"/>
    <xf numFmtId="42" fontId="4" fillId="0" borderId="6" xfId="0" applyNumberFormat="1" applyFont="1" applyBorder="1"/>
    <xf numFmtId="0" fontId="9" fillId="0" borderId="0" xfId="0" applyFont="1"/>
    <xf numFmtId="0" fontId="4" fillId="0" borderId="0" xfId="0" applyFont="1" applyAlignment="1">
      <alignment horizontal="left" indent="1"/>
    </xf>
    <xf numFmtId="165" fontId="4" fillId="0" borderId="0" xfId="0" applyNumberFormat="1" applyFont="1"/>
    <xf numFmtId="0" fontId="10" fillId="0" borderId="7" xfId="0" applyFont="1" applyBorder="1"/>
    <xf numFmtId="0" fontId="4" fillId="0" borderId="8" xfId="0" applyFont="1" applyBorder="1"/>
    <xf numFmtId="42" fontId="4" fillId="0" borderId="9" xfId="0" applyNumberFormat="1" applyFont="1" applyBorder="1"/>
    <xf numFmtId="166" fontId="4" fillId="0" borderId="0" xfId="0" applyNumberFormat="1" applyFont="1"/>
    <xf numFmtId="41" fontId="11" fillId="0" borderId="0" xfId="0" applyNumberFormat="1" applyFont="1"/>
    <xf numFmtId="166" fontId="11" fillId="0" borderId="0" xfId="0" applyNumberFormat="1" applyFont="1"/>
    <xf numFmtId="0" fontId="4" fillId="0" borderId="2" xfId="0" applyFont="1" applyBorder="1"/>
    <xf numFmtId="167" fontId="4" fillId="0" borderId="4" xfId="0" applyNumberFormat="1" applyFont="1" applyBorder="1"/>
    <xf numFmtId="167" fontId="4" fillId="0" borderId="6" xfId="0" applyNumberFormat="1" applyFont="1" applyBorder="1"/>
    <xf numFmtId="0" fontId="9" fillId="0" borderId="0" xfId="0" applyFont="1" applyAlignment="1">
      <alignment horizontal="left"/>
    </xf>
    <xf numFmtId="43" fontId="4" fillId="0" borderId="6" xfId="0" applyNumberFormat="1" applyFont="1" applyBorder="1"/>
    <xf numFmtId="42" fontId="11" fillId="0" borderId="0" xfId="0" applyNumberFormat="1" applyFont="1"/>
    <xf numFmtId="41" fontId="4" fillId="0" borderId="6" xfId="0" applyNumberFormat="1" applyFont="1" applyBorder="1"/>
    <xf numFmtId="44" fontId="4" fillId="0" borderId="6" xfId="0" applyNumberFormat="1" applyFont="1" applyBorder="1"/>
    <xf numFmtId="41" fontId="9" fillId="0" borderId="0" xfId="0" applyNumberFormat="1" applyFont="1"/>
    <xf numFmtId="0" fontId="4" fillId="0" borderId="7" xfId="0" applyFont="1" applyBorder="1"/>
    <xf numFmtId="43" fontId="4" fillId="0" borderId="9" xfId="0" applyNumberFormat="1" applyFont="1" applyBorder="1"/>
    <xf numFmtId="0" fontId="4" fillId="0" borderId="10" xfId="0" applyFont="1" applyBorder="1"/>
    <xf numFmtId="42" fontId="4" fillId="0" borderId="11" xfId="0" applyNumberFormat="1" applyFont="1" applyBorder="1"/>
    <xf numFmtId="0" fontId="12" fillId="2" borderId="0" xfId="4" applyFont="1" applyFill="1"/>
    <xf numFmtId="0" fontId="5" fillId="2" borderId="0" xfId="4" applyFont="1" applyFill="1"/>
    <xf numFmtId="0" fontId="15" fillId="2" borderId="0" xfId="4" applyFont="1" applyFill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43" fontId="4" fillId="0" borderId="8" xfId="0" applyNumberFormat="1" applyFont="1" applyBorder="1"/>
    <xf numFmtId="165" fontId="4" fillId="0" borderId="11" xfId="0" applyNumberFormat="1" applyFont="1" applyBorder="1"/>
    <xf numFmtId="168" fontId="4" fillId="0" borderId="0" xfId="0" applyNumberFormat="1" applyFont="1"/>
    <xf numFmtId="167" fontId="4" fillId="0" borderId="9" xfId="0" applyNumberFormat="1" applyFont="1" applyBorder="1"/>
    <xf numFmtId="0" fontId="10" fillId="0" borderId="0" xfId="0" applyFont="1"/>
    <xf numFmtId="0" fontId="5" fillId="0" borderId="2" xfId="4" applyFont="1" applyBorder="1"/>
    <xf numFmtId="169" fontId="16" fillId="0" borderId="4" xfId="4" applyNumberFormat="1" applyFont="1" applyBorder="1" applyAlignment="1">
      <alignment horizontal="right"/>
    </xf>
    <xf numFmtId="0" fontId="5" fillId="0" borderId="5" xfId="4" applyFont="1" applyBorder="1"/>
    <xf numFmtId="169" fontId="16" fillId="0" borderId="6" xfId="4" applyNumberFormat="1" applyFont="1" applyBorder="1" applyAlignment="1">
      <alignment horizontal="right"/>
    </xf>
    <xf numFmtId="0" fontId="5" fillId="0" borderId="7" xfId="4" applyFont="1" applyBorder="1"/>
    <xf numFmtId="0" fontId="5" fillId="0" borderId="8" xfId="4" applyFont="1" applyBorder="1"/>
    <xf numFmtId="169" fontId="16" fillId="0" borderId="9" xfId="4" applyNumberFormat="1" applyFont="1" applyBorder="1" applyAlignment="1">
      <alignment horizontal="right"/>
    </xf>
    <xf numFmtId="44" fontId="4" fillId="0" borderId="9" xfId="0" applyNumberFormat="1" applyFont="1" applyBorder="1"/>
    <xf numFmtId="0" fontId="4" fillId="0" borderId="0" xfId="0" applyFont="1" applyAlignment="1">
      <alignment horizontal="left"/>
    </xf>
    <xf numFmtId="43" fontId="4" fillId="0" borderId="4" xfId="0" applyNumberFormat="1" applyFont="1" applyBorder="1"/>
    <xf numFmtId="170" fontId="4" fillId="0" borderId="6" xfId="0" applyNumberFormat="1" applyFont="1" applyBorder="1"/>
    <xf numFmtId="170" fontId="4" fillId="0" borderId="9" xfId="0" applyNumberFormat="1" applyFont="1" applyBorder="1"/>
    <xf numFmtId="165" fontId="4" fillId="0" borderId="6" xfId="0" applyNumberFormat="1" applyFont="1" applyBorder="1"/>
    <xf numFmtId="166" fontId="4" fillId="0" borderId="6" xfId="0" applyNumberFormat="1" applyFont="1" applyBorder="1"/>
    <xf numFmtId="166" fontId="4" fillId="0" borderId="9" xfId="0" applyNumberFormat="1" applyFont="1" applyBorder="1"/>
    <xf numFmtId="171" fontId="4" fillId="0" borderId="0" xfId="3" applyNumberFormat="1" applyFont="1"/>
    <xf numFmtId="0" fontId="17" fillId="0" borderId="0" xfId="0" applyFont="1" applyAlignment="1">
      <alignment horizontal="left"/>
    </xf>
    <xf numFmtId="43" fontId="4" fillId="0" borderId="0" xfId="1" applyFont="1"/>
    <xf numFmtId="0" fontId="17" fillId="0" borderId="0" xfId="0" applyFont="1"/>
    <xf numFmtId="172" fontId="4" fillId="0" borderId="0" xfId="3" applyNumberFormat="1" applyFont="1"/>
    <xf numFmtId="171" fontId="4" fillId="0" borderId="4" xfId="3" applyNumberFormat="1" applyFont="1" applyBorder="1"/>
    <xf numFmtId="171" fontId="4" fillId="0" borderId="6" xfId="3" applyNumberFormat="1" applyFont="1" applyBorder="1"/>
    <xf numFmtId="173" fontId="4" fillId="0" borderId="9" xfId="0" applyNumberFormat="1" applyFont="1" applyBorder="1"/>
    <xf numFmtId="0" fontId="4" fillId="0" borderId="0" xfId="0" applyFont="1" applyAlignment="1">
      <alignment horizontal="left" indent="2"/>
    </xf>
    <xf numFmtId="38" fontId="4" fillId="0" borderId="0" xfId="0" applyNumberFormat="1" applyFont="1"/>
    <xf numFmtId="0" fontId="9" fillId="0" borderId="0" xfId="0" applyFont="1" applyAlignment="1">
      <alignment horizontal="left" indent="1"/>
    </xf>
    <xf numFmtId="174" fontId="4" fillId="0" borderId="0" xfId="0" applyNumberFormat="1" applyFont="1"/>
    <xf numFmtId="44" fontId="4" fillId="0" borderId="11" xfId="2" applyFont="1" applyBorder="1"/>
    <xf numFmtId="44" fontId="4" fillId="0" borderId="4" xfId="0" applyNumberFormat="1" applyFont="1" applyBorder="1"/>
    <xf numFmtId="175" fontId="4" fillId="0" borderId="11" xfId="2" applyNumberFormat="1" applyFont="1" applyBorder="1"/>
    <xf numFmtId="0" fontId="5" fillId="0" borderId="0" xfId="0" applyFont="1"/>
    <xf numFmtId="0" fontId="6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1" fontId="5" fillId="0" borderId="0" xfId="5" applyNumberFormat="1" applyFont="1" applyAlignment="1">
      <alignment horizontal="center"/>
    </xf>
    <xf numFmtId="0" fontId="5" fillId="0" borderId="0" xfId="5" applyFont="1"/>
    <xf numFmtId="0" fontId="5" fillId="0" borderId="0" xfId="5" applyFont="1" applyAlignment="1" applyProtection="1">
      <alignment horizontal="center"/>
      <protection locked="0"/>
    </xf>
    <xf numFmtId="0" fontId="5" fillId="0" borderId="0" xfId="6" applyFont="1" applyProtection="1">
      <protection locked="0"/>
    </xf>
    <xf numFmtId="176" fontId="5" fillId="0" borderId="0" xfId="5" applyNumberFormat="1" applyFont="1"/>
    <xf numFmtId="0" fontId="19" fillId="0" borderId="2" xfId="0" applyFont="1" applyBorder="1"/>
    <xf numFmtId="0" fontId="5" fillId="0" borderId="3" xfId="0" applyFont="1" applyBorder="1"/>
    <xf numFmtId="0" fontId="5" fillId="0" borderId="4" xfId="0" applyFont="1" applyBorder="1"/>
    <xf numFmtId="37" fontId="5" fillId="0" borderId="0" xfId="0" applyNumberFormat="1" applyFont="1" applyAlignment="1">
      <alignment horizontal="center"/>
    </xf>
    <xf numFmtId="37" fontId="5" fillId="0" borderId="0" xfId="5" applyNumberFormat="1" applyFont="1"/>
    <xf numFmtId="177" fontId="5" fillId="0" borderId="0" xfId="7" applyNumberFormat="1" applyFont="1" applyProtection="1">
      <protection locked="0"/>
    </xf>
    <xf numFmtId="0" fontId="5" fillId="0" borderId="5" xfId="0" applyFont="1" applyBorder="1"/>
    <xf numFmtId="42" fontId="5" fillId="0" borderId="6" xfId="0" applyNumberFormat="1" applyFont="1" applyBorder="1"/>
    <xf numFmtId="1" fontId="5" fillId="0" borderId="0" xfId="5" applyNumberFormat="1" applyFont="1" applyAlignment="1" applyProtection="1">
      <alignment horizontal="left"/>
      <protection locked="0"/>
    </xf>
    <xf numFmtId="38" fontId="5" fillId="0" borderId="0" xfId="5" applyNumberFormat="1" applyFont="1"/>
    <xf numFmtId="0" fontId="5" fillId="0" borderId="8" xfId="0" applyFont="1" applyBorder="1"/>
    <xf numFmtId="42" fontId="5" fillId="0" borderId="9" xfId="0" applyNumberFormat="1" applyFont="1" applyBorder="1"/>
    <xf numFmtId="0" fontId="5" fillId="0" borderId="0" xfId="6" applyFont="1"/>
    <xf numFmtId="37" fontId="5" fillId="0" borderId="0" xfId="5" applyNumberFormat="1" applyFont="1" applyProtection="1">
      <protection locked="0"/>
    </xf>
    <xf numFmtId="177" fontId="5" fillId="0" borderId="0" xfId="7" applyNumberFormat="1" applyFont="1" applyBorder="1" applyProtection="1">
      <protection locked="0"/>
    </xf>
    <xf numFmtId="177" fontId="20" fillId="0" borderId="0" xfId="7" applyNumberFormat="1" applyFont="1" applyProtection="1">
      <protection locked="0"/>
    </xf>
    <xf numFmtId="5" fontId="5" fillId="0" borderId="0" xfId="5" applyNumberFormat="1" applyFont="1" applyProtection="1">
      <protection locked="0"/>
    </xf>
    <xf numFmtId="0" fontId="5" fillId="0" borderId="2" xfId="0" applyFont="1" applyBorder="1"/>
    <xf numFmtId="167" fontId="5" fillId="0" borderId="4" xfId="0" applyNumberFormat="1" applyFont="1" applyBorder="1"/>
    <xf numFmtId="0" fontId="5" fillId="0" borderId="7" xfId="0" applyFont="1" applyBorder="1"/>
    <xf numFmtId="167" fontId="5" fillId="0" borderId="9" xfId="0" applyNumberFormat="1" applyFont="1" applyBorder="1"/>
    <xf numFmtId="167" fontId="5" fillId="0" borderId="0" xfId="0" applyNumberFormat="1" applyFont="1"/>
    <xf numFmtId="0" fontId="5" fillId="0" borderId="10" xfId="0" applyFont="1" applyBorder="1"/>
    <xf numFmtId="0" fontId="5" fillId="0" borderId="1" xfId="0" applyFont="1" applyBorder="1"/>
    <xf numFmtId="42" fontId="5" fillId="0" borderId="11" xfId="0" applyNumberFormat="1" applyFont="1" applyBorder="1"/>
    <xf numFmtId="0" fontId="6" fillId="0" borderId="0" xfId="5" applyFont="1" applyAlignment="1" applyProtection="1">
      <alignment horizontal="center"/>
      <protection locked="0"/>
    </xf>
    <xf numFmtId="0" fontId="5" fillId="0" borderId="0" xfId="5" applyFont="1" applyAlignment="1">
      <alignment horizontal="center"/>
    </xf>
    <xf numFmtId="0" fontId="19" fillId="0" borderId="0" xfId="5" applyFont="1" applyAlignment="1" applyProtection="1">
      <alignment horizontal="center"/>
      <protection locked="0"/>
    </xf>
    <xf numFmtId="0" fontId="21" fillId="0" borderId="0" xfId="5" applyFont="1" applyAlignment="1" applyProtection="1">
      <alignment horizontal="center"/>
      <protection locked="0"/>
    </xf>
    <xf numFmtId="0" fontId="19" fillId="0" borderId="0" xfId="5" applyFont="1"/>
    <xf numFmtId="0" fontId="5" fillId="0" borderId="0" xfId="0" applyFont="1" applyAlignment="1">
      <alignment horizontal="left" indent="1"/>
    </xf>
    <xf numFmtId="44" fontId="5" fillId="0" borderId="0" xfId="7" applyFont="1" applyProtection="1">
      <protection locked="0"/>
    </xf>
    <xf numFmtId="44" fontId="5" fillId="0" borderId="0" xfId="7" applyFont="1"/>
    <xf numFmtId="175" fontId="5" fillId="0" borderId="0" xfId="7" applyNumberFormat="1" applyFont="1" applyProtection="1">
      <protection locked="0"/>
    </xf>
    <xf numFmtId="1" fontId="5" fillId="0" borderId="0" xfId="5" applyNumberFormat="1" applyFont="1" applyAlignment="1" applyProtection="1">
      <alignment horizontal="center"/>
      <protection locked="0"/>
    </xf>
    <xf numFmtId="39" fontId="5" fillId="0" borderId="0" xfId="5" applyNumberFormat="1" applyFont="1"/>
    <xf numFmtId="176" fontId="21" fillId="0" borderId="0" xfId="5" applyNumberFormat="1" applyFont="1" applyAlignment="1">
      <alignment horizontal="center"/>
    </xf>
    <xf numFmtId="175" fontId="5" fillId="0" borderId="0" xfId="7" applyNumberFormat="1" applyFont="1" applyAlignment="1">
      <alignment horizontal="center"/>
    </xf>
    <xf numFmtId="178" fontId="5" fillId="0" borderId="0" xfId="5" applyNumberFormat="1" applyFont="1"/>
    <xf numFmtId="0" fontId="21" fillId="0" borderId="0" xfId="5" applyFont="1"/>
    <xf numFmtId="175" fontId="5" fillId="0" borderId="0" xfId="7" applyNumberFormat="1" applyFont="1" applyFill="1" applyProtection="1">
      <protection locked="0"/>
    </xf>
    <xf numFmtId="177" fontId="5" fillId="0" borderId="8" xfId="7" applyNumberFormat="1" applyFont="1" applyBorder="1" applyProtection="1">
      <protection locked="0"/>
    </xf>
    <xf numFmtId="177" fontId="5" fillId="0" borderId="0" xfId="7" applyNumberFormat="1" applyFont="1"/>
    <xf numFmtId="1" fontId="5" fillId="0" borderId="0" xfId="5" applyNumberFormat="1" applyFont="1"/>
    <xf numFmtId="44" fontId="5" fillId="0" borderId="0" xfId="7" applyFont="1" applyFill="1"/>
    <xf numFmtId="177" fontId="20" fillId="0" borderId="0" xfId="7" applyNumberFormat="1" applyFont="1" applyBorder="1" applyProtection="1">
      <protection locked="0"/>
    </xf>
    <xf numFmtId="179" fontId="5" fillId="0" borderId="0" xfId="5" applyNumberFormat="1" applyFont="1" applyProtection="1">
      <protection locked="0"/>
    </xf>
    <xf numFmtId="176" fontId="5" fillId="0" borderId="0" xfId="5" applyNumberFormat="1" applyFont="1" applyProtection="1">
      <protection locked="0"/>
    </xf>
    <xf numFmtId="6" fontId="5" fillId="0" borderId="0" xfId="5" applyNumberFormat="1" applyFont="1"/>
    <xf numFmtId="176" fontId="5" fillId="0" borderId="0" xfId="6" applyNumberFormat="1" applyFont="1"/>
    <xf numFmtId="180" fontId="4" fillId="0" borderId="0" xfId="0" applyNumberFormat="1" applyFont="1"/>
    <xf numFmtId="177" fontId="4" fillId="0" borderId="0" xfId="2" applyNumberFormat="1" applyFont="1" applyFill="1" applyBorder="1"/>
    <xf numFmtId="42" fontId="4" fillId="0" borderId="4" xfId="0" applyNumberFormat="1" applyFont="1" applyBorder="1"/>
    <xf numFmtId="41" fontId="11" fillId="0" borderId="6" xfId="0" applyNumberFormat="1" applyFont="1" applyBorder="1"/>
    <xf numFmtId="0" fontId="4" fillId="0" borderId="7" xfId="0" applyFont="1" applyBorder="1" applyAlignment="1">
      <alignment horizontal="left" indent="1"/>
    </xf>
    <xf numFmtId="43" fontId="4" fillId="0" borderId="11" xfId="0" applyNumberFormat="1" applyFont="1" applyBorder="1"/>
    <xf numFmtId="41" fontId="4" fillId="3" borderId="0" xfId="0" applyNumberFormat="1" applyFont="1" applyFill="1"/>
    <xf numFmtId="44" fontId="4" fillId="3" borderId="0" xfId="0" applyNumberFormat="1" applyFont="1" applyFill="1"/>
    <xf numFmtId="42" fontId="4" fillId="3" borderId="0" xfId="0" applyNumberFormat="1" applyFont="1" applyFill="1"/>
    <xf numFmtId="175" fontId="4" fillId="0" borderId="0" xfId="0" applyNumberFormat="1" applyFont="1"/>
    <xf numFmtId="181" fontId="4" fillId="0" borderId="0" xfId="0" applyNumberFormat="1" applyFont="1"/>
    <xf numFmtId="170" fontId="4" fillId="0" borderId="0" xfId="0" applyNumberFormat="1" applyFont="1"/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/>
    <xf numFmtId="42" fontId="4" fillId="0" borderId="0" xfId="0" applyNumberFormat="1" applyFont="1" applyAlignment="1">
      <alignment horizontal="center"/>
    </xf>
    <xf numFmtId="0" fontId="4" fillId="0" borderId="15" xfId="0" applyFont="1" applyBorder="1" applyAlignment="1">
      <alignment horizontal="center"/>
    </xf>
    <xf numFmtId="42" fontId="4" fillId="0" borderId="16" xfId="0" applyNumberFormat="1" applyFont="1" applyBorder="1"/>
    <xf numFmtId="177" fontId="4" fillId="0" borderId="6" xfId="0" applyNumberFormat="1" applyFont="1" applyBorder="1"/>
    <xf numFmtId="177" fontId="4" fillId="0" borderId="4" xfId="2" applyNumberFormat="1" applyFont="1" applyFill="1" applyBorder="1"/>
    <xf numFmtId="177" fontId="4" fillId="0" borderId="9" xfId="0" applyNumberFormat="1" applyFont="1" applyBorder="1"/>
    <xf numFmtId="44" fontId="4" fillId="0" borderId="0" xfId="2" applyFont="1" applyBorder="1"/>
    <xf numFmtId="2" fontId="4" fillId="0" borderId="0" xfId="0" applyNumberFormat="1" applyFont="1"/>
    <xf numFmtId="41" fontId="4" fillId="0" borderId="8" xfId="0" applyNumberFormat="1" applyFont="1" applyBorder="1"/>
  </cellXfs>
  <cellStyles count="8">
    <cellStyle name="Comma" xfId="1" builtinId="3"/>
    <cellStyle name="Currency" xfId="2" builtinId="4"/>
    <cellStyle name="Currency 3" xfId="7" xr:uid="{29B0142E-0689-418D-9D2F-E6D2DB832798}"/>
    <cellStyle name="Normal" xfId="0" builtinId="0"/>
    <cellStyle name="Normal 14 3" xfId="6" xr:uid="{FDC41696-E71D-43BF-BB4D-C78C07DF7F68}"/>
    <cellStyle name="Normal 2" xfId="4" xr:uid="{BF58D133-303D-41F8-9790-9FFDCBA4289F}"/>
    <cellStyle name="Normal 2 2 3" xfId="5" xr:uid="{526D890A-F709-476D-AA9C-8498E1157851}"/>
    <cellStyle name="Percent" xfId="3" builtinId="5"/>
  </cellStyles>
  <dxfs count="1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60420-0094-478C-AB2F-EC959785E459}">
  <sheetPr>
    <tabColor theme="3"/>
    <pageSetUpPr fitToPage="1"/>
  </sheetPr>
  <dimension ref="C3:R42"/>
  <sheetViews>
    <sheetView showGridLines="0" tabSelected="1" view="pageBreakPreview" zoomScaleNormal="120" zoomScaleSheetLayoutView="100" workbookViewId="0">
      <selection activeCell="H37" sqref="H37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" width="13.5703125" style="3" customWidth="1"/>
    <col min="17" max="17" width="11" style="3" bestFit="1" customWidth="1"/>
    <col min="18" max="18" width="16" style="3" bestFit="1" customWidth="1"/>
    <col min="19" max="16384" width="9.140625" style="3"/>
  </cols>
  <sheetData>
    <row r="3" spans="3:18">
      <c r="C3" s="1" t="s">
        <v>244</v>
      </c>
      <c r="D3" s="2"/>
      <c r="E3" s="2"/>
      <c r="F3" s="2"/>
      <c r="G3" s="2"/>
      <c r="H3" s="2"/>
      <c r="I3" s="2"/>
    </row>
    <row r="4" spans="3:18">
      <c r="C4" s="1" t="s">
        <v>248</v>
      </c>
      <c r="D4" s="2"/>
      <c r="E4" s="2"/>
      <c r="F4" s="2"/>
      <c r="G4" s="2"/>
      <c r="H4" s="2"/>
      <c r="I4" s="2"/>
    </row>
    <row r="5" spans="3:18">
      <c r="C5" s="1" t="s">
        <v>245</v>
      </c>
      <c r="D5" s="2"/>
      <c r="E5" s="2"/>
      <c r="F5" s="2"/>
      <c r="G5" s="2"/>
      <c r="H5" s="2"/>
      <c r="I5" s="2"/>
    </row>
    <row r="6" spans="3:18">
      <c r="C6" s="1" t="s">
        <v>246</v>
      </c>
      <c r="D6" s="2"/>
      <c r="E6" s="2"/>
      <c r="F6" s="2"/>
      <c r="G6" s="2"/>
      <c r="H6" s="2"/>
      <c r="I6" s="2"/>
      <c r="M6" s="4"/>
      <c r="N6" s="4"/>
      <c r="O6" s="4"/>
      <c r="P6" s="4"/>
      <c r="Q6" s="4"/>
      <c r="R6" s="4"/>
    </row>
    <row r="7" spans="3:18">
      <c r="C7" s="1" t="s">
        <v>247</v>
      </c>
      <c r="D7" s="2"/>
      <c r="E7" s="2"/>
      <c r="F7" s="2"/>
      <c r="G7" s="2"/>
      <c r="H7" s="2"/>
      <c r="I7" s="2"/>
      <c r="M7" s="5"/>
      <c r="N7" s="5"/>
      <c r="O7" s="5"/>
      <c r="P7" s="5"/>
      <c r="Q7" s="5"/>
      <c r="R7" s="5"/>
    </row>
    <row r="8" spans="3:18">
      <c r="C8" s="1"/>
      <c r="D8" s="2"/>
      <c r="E8" s="2"/>
      <c r="F8" s="2"/>
      <c r="G8" s="2"/>
      <c r="H8" s="2"/>
      <c r="I8" s="2"/>
      <c r="M8" s="5"/>
      <c r="N8" s="5"/>
      <c r="O8" s="5"/>
      <c r="P8" s="5"/>
      <c r="Q8" s="5"/>
      <c r="R8" s="5"/>
    </row>
    <row r="9" spans="3:18">
      <c r="C9" s="1" t="s">
        <v>0</v>
      </c>
      <c r="D9" s="2"/>
      <c r="E9" s="2"/>
      <c r="F9" s="2"/>
      <c r="G9" s="2"/>
      <c r="H9" s="2"/>
      <c r="I9" s="2"/>
      <c r="M9" s="5"/>
      <c r="N9" s="5"/>
      <c r="O9" s="5"/>
      <c r="P9" s="5"/>
      <c r="Q9" s="5"/>
      <c r="R9" s="5"/>
    </row>
    <row r="10" spans="3:18">
      <c r="C10" s="2" t="s">
        <v>1</v>
      </c>
      <c r="D10" s="2"/>
      <c r="E10" s="2"/>
      <c r="F10" s="2"/>
      <c r="G10" s="2"/>
      <c r="H10" s="2"/>
      <c r="I10" s="2"/>
    </row>
    <row r="11" spans="3:18" ht="5.0999999999999996" customHeight="1"/>
    <row r="12" spans="3:18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  <c r="L12" s="8"/>
    </row>
    <row r="13" spans="3:18" ht="5.0999999999999996" customHeight="1"/>
    <row r="14" spans="3:18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18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18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f>+SUM('I01'!E17,'I06'!E17)</f>
        <v>6449658.4000000004</v>
      </c>
      <c r="F17" s="13">
        <v>15</v>
      </c>
      <c r="G17" s="14">
        <f>+F17*$E17</f>
        <v>96744876</v>
      </c>
      <c r="H17" s="13">
        <f>+SUM(ROUNDDOWN(O29-F17,-1)/$O$30,F17)</f>
        <v>25</v>
      </c>
      <c r="I17" s="14">
        <f>+H17*$E17</f>
        <v>161241460</v>
      </c>
      <c r="L17" s="15" t="str">
        <f>+_xlfn.CONCAT(C9,", ",C10)</f>
        <v>Residential Service, Schedule 1 and Schedule 6</v>
      </c>
      <c r="M17" s="16"/>
      <c r="N17" s="16"/>
      <c r="O17" s="17"/>
    </row>
    <row r="18" spans="3:15">
      <c r="C18" s="12">
        <f>+C17-1</f>
        <v>-2</v>
      </c>
      <c r="D18" s="3" t="s">
        <v>22</v>
      </c>
      <c r="E18" s="8">
        <f>+SUM('I01'!E18,'I06'!E18)</f>
        <v>54847.666666666672</v>
      </c>
      <c r="F18" s="18">
        <v>3</v>
      </c>
      <c r="G18" s="8">
        <f>+F18*$E18</f>
        <v>164543</v>
      </c>
      <c r="H18" s="18">
        <f>F18</f>
        <v>3</v>
      </c>
      <c r="I18" s="8">
        <f>+H18*$E18</f>
        <v>164543</v>
      </c>
      <c r="L18" s="19" t="s">
        <v>23</v>
      </c>
      <c r="O18" s="20">
        <f>+I31</f>
        <v>811024382.64733243</v>
      </c>
    </row>
    <row r="19" spans="3:15">
      <c r="C19" s="12">
        <f t="shared" ref="C19:C31" si="0">+C18-1</f>
        <v>-3</v>
      </c>
      <c r="D19" s="21" t="s">
        <v>24</v>
      </c>
      <c r="L19" s="19" t="s">
        <v>25</v>
      </c>
      <c r="O19" s="20">
        <f>G31*(1+O23)</f>
        <v>811024417.18187118</v>
      </c>
    </row>
    <row r="20" spans="3:15">
      <c r="C20" s="12">
        <f t="shared" si="0"/>
        <v>-4</v>
      </c>
      <c r="D20" s="22" t="s">
        <v>26</v>
      </c>
      <c r="E20" s="8">
        <f>+SUM('I01'!E20,'I06'!E20)</f>
        <v>1264784733.5450954</v>
      </c>
      <c r="F20" s="23">
        <v>0.10177899999999999</v>
      </c>
      <c r="G20" s="14">
        <f>+F20*$E20</f>
        <v>128728525.39548627</v>
      </c>
      <c r="H20" s="23">
        <v>0.12568499999999999</v>
      </c>
      <c r="I20" s="14">
        <f>+H20*$E20</f>
        <v>158964469.23561531</v>
      </c>
      <c r="L20" s="24" t="s">
        <v>27</v>
      </c>
      <c r="M20" s="25"/>
      <c r="N20" s="25"/>
      <c r="O20" s="26">
        <f>+O18-O19</f>
        <v>-34.534538745880127</v>
      </c>
    </row>
    <row r="21" spans="3:15">
      <c r="C21" s="12">
        <f t="shared" si="0"/>
        <v>-5</v>
      </c>
      <c r="D21" s="22" t="s">
        <v>28</v>
      </c>
      <c r="E21" s="8">
        <f>+SUM('I01'!E21,'I06'!E21)</f>
        <v>543222448.1747303</v>
      </c>
      <c r="F21" s="27">
        <v>0.12238</v>
      </c>
      <c r="G21" s="8">
        <f>+F21*$E21</f>
        <v>66479563.207623497</v>
      </c>
      <c r="H21" s="27">
        <v>0.13791999999999999</v>
      </c>
      <c r="I21" s="8">
        <f>+H21*$E21</f>
        <v>74921240.05225879</v>
      </c>
    </row>
    <row r="22" spans="3:15" ht="14.25">
      <c r="C22" s="12">
        <f t="shared" si="0"/>
        <v>-6</v>
      </c>
      <c r="D22" s="22" t="s">
        <v>29</v>
      </c>
      <c r="E22" s="28">
        <f>+SUM('I01'!E22,'I06'!E22)</f>
        <v>95968278.600766137</v>
      </c>
      <c r="F22" s="29">
        <v>0.14538500000000001</v>
      </c>
      <c r="G22" s="28">
        <f>+F22*$E22</f>
        <v>13952348.184372386</v>
      </c>
      <c r="H22" s="29">
        <v>0.15157999999999999</v>
      </c>
      <c r="I22" s="28">
        <f>+H22*$E22</f>
        <v>14546871.670304131</v>
      </c>
      <c r="L22" s="30" t="s">
        <v>30</v>
      </c>
      <c r="M22" s="16"/>
      <c r="N22" s="16"/>
      <c r="O22" s="31">
        <f>+O18/$G$31-1</f>
        <v>0.17019030027364601</v>
      </c>
    </row>
    <row r="23" spans="3:15">
      <c r="C23" s="12">
        <f t="shared" si="0"/>
        <v>-7</v>
      </c>
      <c r="D23" s="3" t="s">
        <v>31</v>
      </c>
      <c r="E23" s="8">
        <f>+SUM(E20:E22)</f>
        <v>1903975460.3205919</v>
      </c>
      <c r="F23" s="23">
        <f>+G23/$E23</f>
        <v>0.10985458644107927</v>
      </c>
      <c r="G23" s="14">
        <f>+SUM(G20:G22)</f>
        <v>209160436.78748217</v>
      </c>
      <c r="H23" s="23">
        <f>(O19-I17-I18)/(SUM(E20:E22)+(SUM(E25:E27))/O26)</f>
        <v>0.13048143397010289</v>
      </c>
      <c r="I23" s="14">
        <f>+SUM(I20:I22)</f>
        <v>248432580.95817822</v>
      </c>
      <c r="L23" s="19" t="s">
        <v>25</v>
      </c>
      <c r="O23" s="32">
        <v>0.17019035010196576</v>
      </c>
    </row>
    <row r="24" spans="3:15">
      <c r="C24" s="12">
        <f t="shared" si="0"/>
        <v>-8</v>
      </c>
      <c r="D24" s="33" t="s">
        <v>32</v>
      </c>
      <c r="H24" s="23"/>
      <c r="L24" s="19" t="s">
        <v>33</v>
      </c>
      <c r="O24" s="34">
        <v>1.3903844021719223</v>
      </c>
    </row>
    <row r="25" spans="3:15">
      <c r="C25" s="12">
        <f t="shared" si="0"/>
        <v>-9</v>
      </c>
      <c r="D25" s="3" t="s">
        <v>26</v>
      </c>
      <c r="E25" s="8">
        <f>+SUM('I01'!E25,'I06'!E25)</f>
        <v>2550684322.6769772</v>
      </c>
      <c r="F25" s="23">
        <v>8.9568999999999996E-2</v>
      </c>
      <c r="G25" s="14">
        <f>+F25*$E25</f>
        <v>228462244.09785417</v>
      </c>
      <c r="H25" s="23">
        <v>9.9581000000000003E-2</v>
      </c>
      <c r="I25" s="14">
        <f>+H25*$E25</f>
        <v>253999695.53649607</v>
      </c>
      <c r="L25" s="19" t="s">
        <v>34</v>
      </c>
      <c r="O25" s="34">
        <f>+F23/F28</f>
        <v>1.1715412832225276</v>
      </c>
    </row>
    <row r="26" spans="3:15">
      <c r="C26" s="12">
        <f t="shared" si="0"/>
        <v>-10</v>
      </c>
      <c r="D26" s="3" t="s">
        <v>28</v>
      </c>
      <c r="E26" s="8">
        <f>+SUM('I01'!E26,'I06'!E26)</f>
        <v>1029597595.4499459</v>
      </c>
      <c r="F26" s="27">
        <v>9.8750000000000004E-2</v>
      </c>
      <c r="G26" s="8">
        <f>+F26*$E26</f>
        <v>101672762.55068217</v>
      </c>
      <c r="H26" s="27">
        <v>0.10456699999999999</v>
      </c>
      <c r="I26" s="8">
        <f>+H26*$E26</f>
        <v>107661931.76341449</v>
      </c>
      <c r="L26" s="19" t="s">
        <v>35</v>
      </c>
      <c r="O26" s="34">
        <f>+AVERAGE(O24:O25)</f>
        <v>1.280962842697225</v>
      </c>
    </row>
    <row r="27" spans="3:15" ht="14.25">
      <c r="C27" s="12">
        <f t="shared" si="0"/>
        <v>-11</v>
      </c>
      <c r="D27" s="3" t="s">
        <v>29</v>
      </c>
      <c r="E27" s="28">
        <f>+SUM('I01'!E27,'I06'!E27)</f>
        <v>358232694.24951947</v>
      </c>
      <c r="F27" s="29">
        <v>0.109361</v>
      </c>
      <c r="G27" s="28">
        <f>+F27*$E27</f>
        <v>39176685.675821699</v>
      </c>
      <c r="H27" s="29">
        <v>0.110331</v>
      </c>
      <c r="I27" s="28">
        <f>+H27*$E27</f>
        <v>39524171.389243729</v>
      </c>
      <c r="L27" s="19" t="s">
        <v>36</v>
      </c>
      <c r="O27" s="20">
        <v>267137694.64312568</v>
      </c>
    </row>
    <row r="28" spans="3:15" ht="14.25">
      <c r="C28" s="12">
        <f t="shared" si="0"/>
        <v>-12</v>
      </c>
      <c r="D28" s="3" t="s">
        <v>37</v>
      </c>
      <c r="E28" s="28">
        <f>+SUM(E25:E27)</f>
        <v>3938514612.3764424</v>
      </c>
      <c r="F28" s="23">
        <f>+G28/$E28</f>
        <v>9.3769283263245462E-2</v>
      </c>
      <c r="G28" s="35">
        <f>+SUM(G25:G27)</f>
        <v>369311692.32435805</v>
      </c>
      <c r="H28" s="23">
        <f>+H23/O26</f>
        <v>0.10186199757001395</v>
      </c>
      <c r="I28" s="35">
        <f>+SUM(I25:I27)</f>
        <v>401185798.68915427</v>
      </c>
      <c r="L28" s="19" t="s">
        <v>38</v>
      </c>
      <c r="O28" s="36">
        <v>6235774.8889999995</v>
      </c>
    </row>
    <row r="29" spans="3:15">
      <c r="C29" s="12">
        <f t="shared" si="0"/>
        <v>-13</v>
      </c>
      <c r="D29" s="3" t="s">
        <v>39</v>
      </c>
      <c r="E29" s="8">
        <f>+SUM(E28,E23)</f>
        <v>5842490072.6970348</v>
      </c>
      <c r="F29" s="23"/>
      <c r="G29" s="14">
        <f>+SUM(G28,G23)</f>
        <v>578472129.11184025</v>
      </c>
      <c r="I29" s="14">
        <f>+SUM(I28,I23)</f>
        <v>649618379.64733243</v>
      </c>
      <c r="L29" s="19" t="s">
        <v>40</v>
      </c>
      <c r="O29" s="37">
        <f>+O27/O28</f>
        <v>42.839534684672564</v>
      </c>
    </row>
    <row r="30" spans="3:15">
      <c r="C30" s="12">
        <f t="shared" si="0"/>
        <v>-14</v>
      </c>
      <c r="D30" s="3" t="s">
        <v>41</v>
      </c>
      <c r="G30" s="38">
        <f>+SUM('I01'!G30,'I06'!G30)</f>
        <v>17688957.136474065</v>
      </c>
      <c r="L30" s="39" t="s">
        <v>42</v>
      </c>
      <c r="M30" s="25"/>
      <c r="N30" s="25"/>
      <c r="O30" s="40">
        <v>2</v>
      </c>
    </row>
    <row r="31" spans="3:15">
      <c r="C31" s="12">
        <f t="shared" si="0"/>
        <v>-15</v>
      </c>
      <c r="D31" s="3" t="s">
        <v>43</v>
      </c>
      <c r="G31" s="14">
        <f>+SUM(G17:G18,G23,G28,G30)</f>
        <v>693070505.24831426</v>
      </c>
      <c r="I31" s="14">
        <f>+SUM(I29,I17:I18)</f>
        <v>811024382.64733243</v>
      </c>
    </row>
    <row r="32" spans="3:15">
      <c r="L32" s="41" t="s">
        <v>44</v>
      </c>
      <c r="M32" s="6"/>
      <c r="N32" s="6"/>
      <c r="O32" s="42">
        <v>0</v>
      </c>
    </row>
    <row r="33" spans="3:15">
      <c r="C33" s="43" t="s">
        <v>45</v>
      </c>
      <c r="D33" s="44" t="s">
        <v>46</v>
      </c>
      <c r="E33" s="44" t="s">
        <v>46</v>
      </c>
      <c r="F33" s="44" t="s">
        <v>46</v>
      </c>
      <c r="G33" s="44" t="s">
        <v>46</v>
      </c>
      <c r="H33" s="44" t="s">
        <v>46</v>
      </c>
      <c r="I33" s="45" t="s">
        <v>47</v>
      </c>
    </row>
    <row r="34" spans="3:15">
      <c r="L34" s="15" t="s">
        <v>48</v>
      </c>
      <c r="M34" s="16"/>
      <c r="N34" s="46" t="s">
        <v>10</v>
      </c>
      <c r="O34" s="47" t="s">
        <v>11</v>
      </c>
    </row>
    <row r="35" spans="3:15">
      <c r="H35" s="13"/>
      <c r="I35" s="14"/>
      <c r="L35" s="19" t="s">
        <v>49</v>
      </c>
      <c r="N35" s="18">
        <f>+F20/$F$23</f>
        <v>0.92648839977736719</v>
      </c>
      <c r="O35" s="34">
        <f t="shared" ref="O35:O40" si="1">+SUM(N35,(1-N35)/$O$30)</f>
        <v>0.96324419988868359</v>
      </c>
    </row>
    <row r="36" spans="3:15">
      <c r="E36" s="18"/>
      <c r="I36" s="14"/>
      <c r="L36" s="19" t="s">
        <v>50</v>
      </c>
      <c r="N36" s="18">
        <f>+F21/$F$23</f>
        <v>1.1140181212701461</v>
      </c>
      <c r="O36" s="34">
        <f t="shared" si="1"/>
        <v>1.057009060635073</v>
      </c>
    </row>
    <row r="37" spans="3:15">
      <c r="L37" s="19" t="s">
        <v>51</v>
      </c>
      <c r="N37" s="18">
        <f>+F22/$F$23</f>
        <v>1.3234313168888725</v>
      </c>
      <c r="O37" s="34">
        <f t="shared" si="1"/>
        <v>1.1617156584444364</v>
      </c>
    </row>
    <row r="38" spans="3:15">
      <c r="L38" s="19" t="s">
        <v>52</v>
      </c>
      <c r="N38" s="18">
        <f>+F25/$F$28</f>
        <v>0.95520619208047375</v>
      </c>
      <c r="O38" s="34">
        <f t="shared" si="1"/>
        <v>0.97760309604023687</v>
      </c>
    </row>
    <row r="39" spans="3:15">
      <c r="L39" s="19" t="s">
        <v>53</v>
      </c>
      <c r="N39" s="18">
        <f>+F26/$F$28</f>
        <v>1.0531167197126996</v>
      </c>
      <c r="O39" s="34">
        <f t="shared" si="1"/>
        <v>1.0265583598563497</v>
      </c>
    </row>
    <row r="40" spans="3:15">
      <c r="L40" s="39" t="s">
        <v>54</v>
      </c>
      <c r="M40" s="25"/>
      <c r="N40" s="48">
        <f>+F27/$F$28</f>
        <v>1.1662774438936763</v>
      </c>
      <c r="O40" s="40">
        <f t="shared" si="1"/>
        <v>1.0831387219468382</v>
      </c>
    </row>
    <row r="42" spans="3:15">
      <c r="L42" s="41" t="s">
        <v>55</v>
      </c>
      <c r="M42" s="6"/>
      <c r="N42" s="6"/>
      <c r="O42" s="49">
        <v>-1.9999999999999999E-6</v>
      </c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490B6-B0CC-464B-A275-BB40453F8020}">
  <sheetPr>
    <tabColor theme="3"/>
    <pageSetUpPr fitToPage="1"/>
  </sheetPr>
  <dimension ref="C3:O38"/>
  <sheetViews>
    <sheetView showGridLines="0" view="pageBreakPreview" zoomScaleNormal="9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56</v>
      </c>
      <c r="D9" s="2"/>
      <c r="E9" s="2"/>
      <c r="F9" s="2"/>
      <c r="G9" s="2"/>
      <c r="H9" s="2"/>
      <c r="I9" s="2"/>
    </row>
    <row r="10" spans="3:9">
      <c r="C10" s="2" t="s">
        <v>57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v>6223666.2000000002</v>
      </c>
      <c r="F17" s="13">
        <v>15</v>
      </c>
      <c r="G17" s="14">
        <f>+F17*$E17</f>
        <v>93354993</v>
      </c>
      <c r="H17" s="13">
        <f>'I01+I06'!H17</f>
        <v>25</v>
      </c>
      <c r="I17" s="14">
        <f>+H17*$E17</f>
        <v>155591655</v>
      </c>
      <c r="L17" s="15" t="str">
        <f>+_xlfn.CONCAT(C9,", ",C10)</f>
        <v>Residential Service Standard Plan, Schedule 1</v>
      </c>
      <c r="M17" s="16"/>
      <c r="N17" s="16"/>
      <c r="O17" s="17"/>
    </row>
    <row r="18" spans="3:15">
      <c r="C18" s="12">
        <f>+C17-1</f>
        <v>-2</v>
      </c>
      <c r="D18" s="3" t="s">
        <v>22</v>
      </c>
      <c r="E18" s="8">
        <v>54175.666666666672</v>
      </c>
      <c r="F18" s="18">
        <v>3</v>
      </c>
      <c r="G18" s="8">
        <f>+F18*$E18</f>
        <v>162527</v>
      </c>
      <c r="H18" s="18">
        <f>'I01+I06'!H18</f>
        <v>3</v>
      </c>
      <c r="I18" s="8">
        <f>+H18*$E18</f>
        <v>162527</v>
      </c>
      <c r="L18" s="19" t="s">
        <v>23</v>
      </c>
      <c r="O18" s="20">
        <f>+I31</f>
        <v>784777672.44368958</v>
      </c>
    </row>
    <row r="19" spans="3:15">
      <c r="C19" s="12">
        <f t="shared" ref="C19:C31" si="0">+C18-1</f>
        <v>-3</v>
      </c>
      <c r="D19" s="21" t="s">
        <v>24</v>
      </c>
      <c r="L19" s="19" t="s">
        <v>25</v>
      </c>
      <c r="O19" s="20">
        <f>+G31*(1+O23)</f>
        <v>784890084.02730954</v>
      </c>
    </row>
    <row r="20" spans="3:15">
      <c r="C20" s="12">
        <f t="shared" si="0"/>
        <v>-4</v>
      </c>
      <c r="D20" s="22" t="s">
        <v>26</v>
      </c>
      <c r="E20" s="8">
        <v>1224254394.0663073</v>
      </c>
      <c r="F20" s="23">
        <v>0.10177899999999999</v>
      </c>
      <c r="G20" s="14">
        <f>+F20*$E20</f>
        <v>124603387.97367468</v>
      </c>
      <c r="H20" s="23">
        <f>'I01+I06'!H20</f>
        <v>0.12568499999999999</v>
      </c>
      <c r="I20" s="14">
        <f>+H20*$E20</f>
        <v>153870413.51822382</v>
      </c>
      <c r="L20" s="24" t="s">
        <v>27</v>
      </c>
      <c r="M20" s="25"/>
      <c r="N20" s="25"/>
      <c r="O20" s="26">
        <f>+O18-O19</f>
        <v>-112411.5836199522</v>
      </c>
    </row>
    <row r="21" spans="3:15">
      <c r="C21" s="12">
        <f t="shared" si="0"/>
        <v>-5</v>
      </c>
      <c r="D21" s="22" t="s">
        <v>28</v>
      </c>
      <c r="E21" s="8">
        <v>532104954.16210634</v>
      </c>
      <c r="F21" s="27">
        <v>0.12238</v>
      </c>
      <c r="G21" s="8">
        <f>+F21*$E21</f>
        <v>65119004.290358573</v>
      </c>
      <c r="H21" s="27">
        <f>'I01+I06'!H21</f>
        <v>0.13791999999999999</v>
      </c>
      <c r="I21" s="8">
        <f>+H21*$E21</f>
        <v>73387915.278037697</v>
      </c>
    </row>
    <row r="22" spans="3:15" ht="14.25">
      <c r="C22" s="12">
        <f t="shared" si="0"/>
        <v>-6</v>
      </c>
      <c r="D22" s="22" t="s">
        <v>29</v>
      </c>
      <c r="E22" s="28">
        <v>93673899.898930103</v>
      </c>
      <c r="F22" s="29">
        <v>0.14538500000000001</v>
      </c>
      <c r="G22" s="28">
        <f>+F22*$E22</f>
        <v>13618779.936805954</v>
      </c>
      <c r="H22" s="29">
        <f>'I01+I06'!H22</f>
        <v>0.15157999999999999</v>
      </c>
      <c r="I22" s="28">
        <f>+H22*$E22</f>
        <v>14199089.746679824</v>
      </c>
      <c r="L22" s="30" t="s">
        <v>30</v>
      </c>
      <c r="M22" s="16"/>
      <c r="N22" s="16"/>
      <c r="O22" s="31">
        <f>+O18/G31-1</f>
        <v>0.17002275599793926</v>
      </c>
    </row>
    <row r="23" spans="3:15">
      <c r="C23" s="12">
        <f t="shared" si="0"/>
        <v>-7</v>
      </c>
      <c r="D23" s="3" t="s">
        <v>31</v>
      </c>
      <c r="E23" s="8">
        <f>+SUM(E20:E22)</f>
        <v>1850033248.1273437</v>
      </c>
      <c r="F23" s="23">
        <f>+G23/$E23</f>
        <v>0.10991217179835387</v>
      </c>
      <c r="G23" s="14">
        <f>+SUM(G20:G22)</f>
        <v>203341172.20083922</v>
      </c>
      <c r="H23" s="23">
        <f>+I23/$E23</f>
        <v>0.13051517792307321</v>
      </c>
      <c r="I23" s="14">
        <f>+SUM(I20:I22)</f>
        <v>241457418.54294133</v>
      </c>
      <c r="L23" s="19" t="s">
        <v>25</v>
      </c>
      <c r="O23" s="32">
        <f>'I01+I06'!$O$23</f>
        <v>0.17019035010196576</v>
      </c>
    </row>
    <row r="24" spans="3:15">
      <c r="C24" s="12">
        <f t="shared" si="0"/>
        <v>-8</v>
      </c>
      <c r="D24" s="33" t="s">
        <v>32</v>
      </c>
      <c r="H24" s="23"/>
      <c r="L24" s="19" t="s">
        <v>33</v>
      </c>
      <c r="O24" s="34">
        <v>1.3903844021719223</v>
      </c>
    </row>
    <row r="25" spans="3:15">
      <c r="C25" s="12">
        <f t="shared" si="0"/>
        <v>-9</v>
      </c>
      <c r="D25" s="3" t="s">
        <v>26</v>
      </c>
      <c r="E25" s="8">
        <v>2464568540.051733</v>
      </c>
      <c r="F25" s="23">
        <v>8.9568999999999996E-2</v>
      </c>
      <c r="G25" s="14">
        <f>+F25*$E25</f>
        <v>220748939.56389368</v>
      </c>
      <c r="H25" s="23">
        <f>'I01+I06'!H25</f>
        <v>9.9581000000000003E-2</v>
      </c>
      <c r="I25" s="14">
        <f>+H25*$E25</f>
        <v>245424199.78689164</v>
      </c>
      <c r="L25" s="19" t="s">
        <v>34</v>
      </c>
      <c r="O25" s="34">
        <f>+F23/F28</f>
        <v>1.1722671900746326</v>
      </c>
    </row>
    <row r="26" spans="3:15">
      <c r="C26" s="12">
        <f t="shared" si="0"/>
        <v>-10</v>
      </c>
      <c r="D26" s="3" t="s">
        <v>28</v>
      </c>
      <c r="E26" s="8">
        <v>997228306.47913694</v>
      </c>
      <c r="F26" s="27">
        <v>9.8750000000000004E-2</v>
      </c>
      <c r="G26" s="8">
        <f>+F26*$E26</f>
        <v>98476295.264814779</v>
      </c>
      <c r="H26" s="27">
        <f>'I01+I06'!H26</f>
        <v>0.10456699999999999</v>
      </c>
      <c r="I26" s="8">
        <f>+H26*$E26</f>
        <v>104277172.32360391</v>
      </c>
      <c r="L26" s="39" t="s">
        <v>35</v>
      </c>
      <c r="M26" s="25"/>
      <c r="N26" s="25"/>
      <c r="O26" s="40">
        <f>+H23/H28</f>
        <v>1.2813525550277955</v>
      </c>
    </row>
    <row r="27" spans="3:15" ht="14.25">
      <c r="C27" s="12">
        <f t="shared" si="0"/>
        <v>-11</v>
      </c>
      <c r="D27" s="3" t="s">
        <v>29</v>
      </c>
      <c r="E27" s="28">
        <v>343191848.07762653</v>
      </c>
      <c r="F27" s="29">
        <v>0.109361</v>
      </c>
      <c r="G27" s="28">
        <f>+F27*$E27</f>
        <v>37531803.697617315</v>
      </c>
      <c r="H27" s="29">
        <f>'I01+I06'!H27</f>
        <v>0.110331</v>
      </c>
      <c r="I27" s="28">
        <f>+H27*$E27</f>
        <v>37864699.790252611</v>
      </c>
    </row>
    <row r="28" spans="3:15" ht="14.25">
      <c r="C28" s="12">
        <f t="shared" si="0"/>
        <v>-12</v>
      </c>
      <c r="D28" s="3" t="s">
        <v>37</v>
      </c>
      <c r="E28" s="28">
        <f>+SUM(E25:E27)</f>
        <v>3804988694.6084967</v>
      </c>
      <c r="F28" s="23">
        <f>+G28/$E28</f>
        <v>9.3760341267724381E-2</v>
      </c>
      <c r="G28" s="35">
        <f>+SUM(G25:G27)</f>
        <v>356757038.52632576</v>
      </c>
      <c r="H28" s="23">
        <f>+I28/$E28</f>
        <v>0.10185735175768391</v>
      </c>
      <c r="I28" s="35">
        <f>+SUM(I25:I27)</f>
        <v>387566071.90074819</v>
      </c>
    </row>
    <row r="29" spans="3:15">
      <c r="C29" s="12">
        <f t="shared" si="0"/>
        <v>-13</v>
      </c>
      <c r="D29" s="3" t="s">
        <v>39</v>
      </c>
      <c r="E29" s="8">
        <f>+SUM(E28,E23)</f>
        <v>5655021942.7358398</v>
      </c>
      <c r="F29" s="23"/>
      <c r="G29" s="14">
        <f>+SUM(G28,G23)</f>
        <v>560098210.72716498</v>
      </c>
      <c r="I29" s="14">
        <f>+SUM(I28,I23)</f>
        <v>629023490.44368958</v>
      </c>
    </row>
    <row r="30" spans="3:15">
      <c r="C30" s="12">
        <f t="shared" si="0"/>
        <v>-14</v>
      </c>
      <c r="D30" s="3" t="s">
        <v>41</v>
      </c>
      <c r="G30" s="38">
        <v>17121371.111794293</v>
      </c>
    </row>
    <row r="31" spans="3:15">
      <c r="C31" s="12">
        <f t="shared" si="0"/>
        <v>-15</v>
      </c>
      <c r="D31" s="3" t="s">
        <v>43</v>
      </c>
      <c r="G31" s="14">
        <f>+SUM(G17:G18,G23,G28,G30)</f>
        <v>670737101.83895922</v>
      </c>
      <c r="I31" s="14">
        <f>+SUM(I29,I17:I18)</f>
        <v>784777672.44368958</v>
      </c>
      <c r="L31" s="41" t="s">
        <v>44</v>
      </c>
      <c r="M31" s="6"/>
      <c r="N31" s="6"/>
      <c r="O31" s="42">
        <v>0</v>
      </c>
    </row>
    <row r="32" spans="3:15">
      <c r="G32" s="14"/>
    </row>
    <row r="33" spans="3:9">
      <c r="C33" s="43" t="s">
        <v>45</v>
      </c>
      <c r="D33" s="44" t="s">
        <v>46</v>
      </c>
      <c r="E33" s="44" t="s">
        <v>46</v>
      </c>
      <c r="F33" s="44" t="s">
        <v>46</v>
      </c>
      <c r="G33" s="44" t="s">
        <v>46</v>
      </c>
      <c r="H33" s="44" t="s">
        <v>46</v>
      </c>
      <c r="I33" s="45" t="s">
        <v>47</v>
      </c>
    </row>
    <row r="35" spans="3:9">
      <c r="H35" s="13"/>
      <c r="I35" s="14"/>
    </row>
    <row r="38" spans="3:9">
      <c r="I38" s="3" t="s">
        <v>58</v>
      </c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2CE28-7293-44CC-B133-808E2C3BB309}">
  <sheetPr>
    <tabColor theme="3"/>
    <pageSetUpPr fitToPage="1"/>
  </sheetPr>
  <dimension ref="C3:O36"/>
  <sheetViews>
    <sheetView showGridLines="0" view="pageBreakPreview" zoomScaleNormal="12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59</v>
      </c>
      <c r="D9" s="2"/>
      <c r="E9" s="2"/>
      <c r="F9" s="2"/>
      <c r="G9" s="2"/>
      <c r="H9" s="2"/>
      <c r="I9" s="2"/>
    </row>
    <row r="10" spans="3:9">
      <c r="C10" s="2" t="s">
        <v>60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v>225992.2</v>
      </c>
      <c r="F17" s="13">
        <v>15</v>
      </c>
      <c r="G17" s="14">
        <f>+F17*$E17</f>
        <v>3389883</v>
      </c>
      <c r="H17" s="13">
        <f>'I01+I06'!H17</f>
        <v>25</v>
      </c>
      <c r="I17" s="14">
        <f>+H17*$E17</f>
        <v>5649805</v>
      </c>
      <c r="L17" s="15" t="str">
        <f>+_xlfn.CONCAT(C9,", ",C10)</f>
        <v>Residential Service On-Site Generation, Schedule 6</v>
      </c>
      <c r="M17" s="16"/>
      <c r="N17" s="16"/>
      <c r="O17" s="17"/>
    </row>
    <row r="18" spans="3:15">
      <c r="C18" s="12">
        <f>+C17-1</f>
        <v>-2</v>
      </c>
      <c r="D18" s="3" t="s">
        <v>22</v>
      </c>
      <c r="E18" s="8">
        <v>672</v>
      </c>
      <c r="F18" s="18">
        <v>3</v>
      </c>
      <c r="G18" s="8">
        <f>+F18*$E18</f>
        <v>2016</v>
      </c>
      <c r="H18" s="18">
        <f>'I01+I06'!H18</f>
        <v>3</v>
      </c>
      <c r="I18" s="8">
        <f>+H18*$E18</f>
        <v>2016</v>
      </c>
      <c r="L18" s="19" t="s">
        <v>23</v>
      </c>
      <c r="O18" s="20">
        <f>+I31</f>
        <v>26246710.20364302</v>
      </c>
    </row>
    <row r="19" spans="3:15">
      <c r="C19" s="12">
        <f t="shared" ref="C19:C31" si="0">+C18-1</f>
        <v>-3</v>
      </c>
      <c r="D19" s="21" t="s">
        <v>24</v>
      </c>
      <c r="L19" s="19" t="s">
        <v>25</v>
      </c>
      <c r="O19" s="20">
        <f>+G31*(1+O23)</f>
        <v>26134333.154561508</v>
      </c>
    </row>
    <row r="20" spans="3:15">
      <c r="C20" s="12">
        <f t="shared" si="0"/>
        <v>-4</v>
      </c>
      <c r="D20" s="22" t="s">
        <v>26</v>
      </c>
      <c r="E20" s="8">
        <v>40530339.478788234</v>
      </c>
      <c r="F20" s="23">
        <v>0.10177899999999999</v>
      </c>
      <c r="G20" s="14">
        <f>+F20*$E20</f>
        <v>4125137.4218115876</v>
      </c>
      <c r="H20" s="23">
        <f>'I01+I06'!H20</f>
        <v>0.12568499999999999</v>
      </c>
      <c r="I20" s="14">
        <f>+H20*$E20</f>
        <v>5094055.7173914993</v>
      </c>
      <c r="L20" s="24" t="s">
        <v>27</v>
      </c>
      <c r="M20" s="25"/>
      <c r="N20" s="25"/>
      <c r="O20" s="26">
        <f>+O18-O19</f>
        <v>112377.0490815118</v>
      </c>
    </row>
    <row r="21" spans="3:15">
      <c r="C21" s="12">
        <f t="shared" si="0"/>
        <v>-5</v>
      </c>
      <c r="D21" s="22" t="s">
        <v>28</v>
      </c>
      <c r="E21" s="8">
        <v>11117494.012623988</v>
      </c>
      <c r="F21" s="27">
        <v>0.12238</v>
      </c>
      <c r="G21" s="8">
        <f>+F21*$E21</f>
        <v>1360558.9172649237</v>
      </c>
      <c r="H21" s="27">
        <f>'I01+I06'!H21</f>
        <v>0.13791999999999999</v>
      </c>
      <c r="I21" s="8">
        <f>+H21*$E21</f>
        <v>1533324.7742211004</v>
      </c>
    </row>
    <row r="22" spans="3:15" ht="14.25">
      <c r="C22" s="12">
        <f t="shared" si="0"/>
        <v>-6</v>
      </c>
      <c r="D22" s="22" t="s">
        <v>29</v>
      </c>
      <c r="E22" s="28">
        <v>2294378.701836037</v>
      </c>
      <c r="F22" s="29">
        <v>0.14538500000000001</v>
      </c>
      <c r="G22" s="28">
        <f>+F22*$E22</f>
        <v>333568.24756643228</v>
      </c>
      <c r="H22" s="29">
        <f>'I01+I06'!H22</f>
        <v>0.15157999999999999</v>
      </c>
      <c r="I22" s="28">
        <f>+H22*$E22</f>
        <v>347781.92362430645</v>
      </c>
      <c r="L22" s="30" t="s">
        <v>30</v>
      </c>
      <c r="M22" s="16"/>
      <c r="N22" s="16"/>
      <c r="O22" s="31">
        <f>+O18/G31-1</f>
        <v>0.17522214248137713</v>
      </c>
    </row>
    <row r="23" spans="3:15">
      <c r="C23" s="12">
        <f t="shared" si="0"/>
        <v>-7</v>
      </c>
      <c r="D23" s="3" t="s">
        <v>31</v>
      </c>
      <c r="E23" s="8">
        <f>+SUM(E20:E22)</f>
        <v>53942212.193248257</v>
      </c>
      <c r="F23" s="23">
        <f>+G23/E23</f>
        <v>0.10787960578619576</v>
      </c>
      <c r="G23" s="14">
        <f>+SUM(G20:G22)</f>
        <v>5819264.5866429443</v>
      </c>
      <c r="H23" s="23">
        <f>+I23/$E23</f>
        <v>0.12930805266658979</v>
      </c>
      <c r="I23" s="14">
        <f>+SUM(I20:I22)</f>
        <v>6975162.4152369071</v>
      </c>
      <c r="L23" s="19" t="s">
        <v>25</v>
      </c>
      <c r="O23" s="32">
        <f>'I01+I06'!$O$23</f>
        <v>0.17019035010196576</v>
      </c>
    </row>
    <row r="24" spans="3:15">
      <c r="C24" s="12">
        <f t="shared" si="0"/>
        <v>-8</v>
      </c>
      <c r="D24" s="33" t="s">
        <v>32</v>
      </c>
      <c r="H24" s="23"/>
      <c r="L24" s="19" t="s">
        <v>33</v>
      </c>
      <c r="O24" s="34">
        <v>1.4855344104134161</v>
      </c>
    </row>
    <row r="25" spans="3:15">
      <c r="C25" s="12">
        <f t="shared" si="0"/>
        <v>-9</v>
      </c>
      <c r="D25" s="3" t="s">
        <v>26</v>
      </c>
      <c r="E25" s="8">
        <v>86115782.625243947</v>
      </c>
      <c r="F25" s="23">
        <v>8.9568999999999996E-2</v>
      </c>
      <c r="G25" s="14">
        <f>+F25*$E25</f>
        <v>7713304.5339604747</v>
      </c>
      <c r="H25" s="23">
        <f>'I01+I06'!H25</f>
        <v>9.9581000000000003E-2</v>
      </c>
      <c r="I25" s="14">
        <f>+H25*$E25</f>
        <v>8575495.749604417</v>
      </c>
      <c r="L25" s="19" t="s">
        <v>34</v>
      </c>
      <c r="O25" s="34">
        <f>+F23/F28</f>
        <v>1.1473612576480379</v>
      </c>
    </row>
    <row r="26" spans="3:15">
      <c r="C26" s="12">
        <f t="shared" si="0"/>
        <v>-10</v>
      </c>
      <c r="D26" s="3" t="s">
        <v>28</v>
      </c>
      <c r="E26" s="8">
        <v>32369288.970808931</v>
      </c>
      <c r="F26" s="27">
        <v>9.8750000000000004E-2</v>
      </c>
      <c r="G26" s="8">
        <f>+F26*$E26</f>
        <v>3196467.2858673818</v>
      </c>
      <c r="H26" s="27">
        <f>'I01+I06'!H26</f>
        <v>0.10456699999999999</v>
      </c>
      <c r="I26" s="8">
        <f>+H26*$E26</f>
        <v>3384759.4398105773</v>
      </c>
      <c r="L26" s="39" t="s">
        <v>35</v>
      </c>
      <c r="M26" s="25"/>
      <c r="N26" s="25"/>
      <c r="O26" s="40">
        <f>+H23/H28</f>
        <v>1.2677182644948544</v>
      </c>
    </row>
    <row r="27" spans="3:15" ht="14.25">
      <c r="C27" s="12">
        <f t="shared" si="0"/>
        <v>-11</v>
      </c>
      <c r="D27" s="3" t="s">
        <v>29</v>
      </c>
      <c r="E27" s="28">
        <v>15040846.171892932</v>
      </c>
      <c r="F27" s="29">
        <v>0.109361</v>
      </c>
      <c r="G27" s="28">
        <f>+F27*$E27</f>
        <v>1644881.9782043828</v>
      </c>
      <c r="H27" s="29">
        <f>'I01+I06'!H27</f>
        <v>0.110331</v>
      </c>
      <c r="I27" s="28">
        <f>+H27*$E27</f>
        <v>1659471.5989911191</v>
      </c>
    </row>
    <row r="28" spans="3:15" ht="14.25">
      <c r="C28" s="12">
        <f t="shared" si="0"/>
        <v>-12</v>
      </c>
      <c r="D28" s="3" t="s">
        <v>37</v>
      </c>
      <c r="E28" s="28">
        <f>+SUM(E25:E27)</f>
        <v>133525917.76794581</v>
      </c>
      <c r="F28" s="23">
        <f>+G28/E28</f>
        <v>9.4024096654036299E-2</v>
      </c>
      <c r="G28" s="35">
        <f>+SUM(G25:G27)</f>
        <v>12554653.798032239</v>
      </c>
      <c r="H28" s="23">
        <f>+I28/$E28</f>
        <v>0.10200062292083088</v>
      </c>
      <c r="I28" s="35">
        <f>+SUM(I25:I27)</f>
        <v>13619726.788406113</v>
      </c>
    </row>
    <row r="29" spans="3:15">
      <c r="C29" s="12">
        <f t="shared" si="0"/>
        <v>-13</v>
      </c>
      <c r="D29" s="3" t="s">
        <v>39</v>
      </c>
      <c r="E29" s="8">
        <f>+SUM(E28,E23)</f>
        <v>187468129.96119407</v>
      </c>
      <c r="F29" s="23"/>
      <c r="G29" s="14">
        <f>+SUM(G28,G23)</f>
        <v>18373918.384675182</v>
      </c>
      <c r="I29" s="14">
        <f>+SUM(I28,I23)</f>
        <v>20594889.20364302</v>
      </c>
    </row>
    <row r="30" spans="3:15">
      <c r="C30" s="12">
        <f t="shared" si="0"/>
        <v>-14</v>
      </c>
      <c r="D30" s="3" t="s">
        <v>41</v>
      </c>
      <c r="G30" s="38">
        <v>567586.0246797743</v>
      </c>
    </row>
    <row r="31" spans="3:15">
      <c r="C31" s="12">
        <f t="shared" si="0"/>
        <v>-15</v>
      </c>
      <c r="D31" s="3" t="s">
        <v>43</v>
      </c>
      <c r="G31" s="14">
        <f>+SUM(G17:G18,G23,G28,G30)</f>
        <v>22333403.409354955</v>
      </c>
      <c r="I31" s="14">
        <f>+SUM(I29,I17:I18)</f>
        <v>26246710.20364302</v>
      </c>
      <c r="L31" s="41" t="s">
        <v>44</v>
      </c>
      <c r="M31" s="6"/>
      <c r="N31" s="6"/>
      <c r="O31" s="42">
        <v>0</v>
      </c>
    </row>
    <row r="33" spans="3:9">
      <c r="C33" s="43" t="s">
        <v>45</v>
      </c>
      <c r="D33" s="44" t="s">
        <v>46</v>
      </c>
      <c r="E33" s="44" t="s">
        <v>46</v>
      </c>
      <c r="F33" s="44" t="s">
        <v>46</v>
      </c>
      <c r="G33" s="44" t="s">
        <v>46</v>
      </c>
      <c r="H33" s="44" t="s">
        <v>46</v>
      </c>
      <c r="I33" s="45" t="s">
        <v>47</v>
      </c>
    </row>
    <row r="35" spans="3:9">
      <c r="H35" s="13"/>
      <c r="I35" s="14"/>
    </row>
    <row r="36" spans="3:9">
      <c r="I36" s="14"/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41C80-8A1A-4227-9E17-723DFE50B24F}">
  <sheetPr>
    <tabColor theme="3"/>
    <pageSetUpPr fitToPage="1"/>
  </sheetPr>
  <dimension ref="C3:O27"/>
  <sheetViews>
    <sheetView showGridLines="0" view="pageBreakPreview" zoomScaleNormal="12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61</v>
      </c>
      <c r="D9" s="2"/>
      <c r="E9" s="2"/>
      <c r="F9" s="2"/>
      <c r="G9" s="2"/>
      <c r="H9" s="2"/>
      <c r="I9" s="2"/>
    </row>
    <row r="10" spans="3:9">
      <c r="C10" s="2" t="s">
        <v>62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v>227.089</v>
      </c>
      <c r="F17" s="13">
        <v>15</v>
      </c>
      <c r="G17" s="14">
        <f>+F17*$E17</f>
        <v>3406.335</v>
      </c>
      <c r="H17" s="13">
        <f>'I01+I06'!$H$17</f>
        <v>25</v>
      </c>
      <c r="I17" s="14">
        <f>+H17*$E17</f>
        <v>5677.2250000000004</v>
      </c>
      <c r="L17" s="15" t="str">
        <f>+_xlfn.CONCAT(C9,", ",C10)</f>
        <v>Master-Metered Mobile Home Park Residential Service, Schedule 3</v>
      </c>
      <c r="M17" s="16"/>
      <c r="N17" s="16"/>
      <c r="O17" s="17"/>
    </row>
    <row r="18" spans="3:15">
      <c r="C18" s="12">
        <f>+C17-1</f>
        <v>-2</v>
      </c>
      <c r="D18" s="3" t="s">
        <v>63</v>
      </c>
      <c r="E18" s="8">
        <v>5073613.1566612478</v>
      </c>
      <c r="F18" s="50">
        <v>0.109482</v>
      </c>
      <c r="G18" s="8">
        <f>+F18*$E18</f>
        <v>555469.31561758672</v>
      </c>
      <c r="H18" s="50">
        <v>0.131324</v>
      </c>
      <c r="I18" s="8">
        <f>+H18*$E18</f>
        <v>666287.17418538174</v>
      </c>
      <c r="L18" s="19" t="s">
        <v>23</v>
      </c>
      <c r="O18" s="20">
        <f>+I20</f>
        <v>671964.39918538171</v>
      </c>
    </row>
    <row r="19" spans="3:15">
      <c r="C19" s="12">
        <f>+C18-1</f>
        <v>-3</v>
      </c>
      <c r="D19" s="3" t="s">
        <v>41</v>
      </c>
      <c r="G19" s="38">
        <v>15361.074565731979</v>
      </c>
      <c r="L19" s="19" t="s">
        <v>25</v>
      </c>
      <c r="O19" s="20">
        <f>+G20*(1+O23)</f>
        <v>671966.27448367386</v>
      </c>
    </row>
    <row r="20" spans="3:15">
      <c r="C20" s="12">
        <f>+C19-1</f>
        <v>-4</v>
      </c>
      <c r="D20" s="3" t="s">
        <v>43</v>
      </c>
      <c r="G20" s="14">
        <f>+SUM(G17:G19)</f>
        <v>574236.7251833186</v>
      </c>
      <c r="I20" s="14">
        <f>+SUM(I17:I19)</f>
        <v>671964.39918538171</v>
      </c>
      <c r="L20" s="24" t="s">
        <v>27</v>
      </c>
      <c r="M20" s="25"/>
      <c r="N20" s="25"/>
      <c r="O20" s="26">
        <f>+O18-O19</f>
        <v>-1.8752982921432704</v>
      </c>
    </row>
    <row r="22" spans="3:15">
      <c r="C22" s="43" t="s">
        <v>45</v>
      </c>
      <c r="D22" s="44" t="s">
        <v>46</v>
      </c>
      <c r="E22" s="44" t="s">
        <v>46</v>
      </c>
      <c r="F22" s="44" t="s">
        <v>46</v>
      </c>
      <c r="G22" s="44" t="s">
        <v>46</v>
      </c>
      <c r="H22" s="44" t="s">
        <v>46</v>
      </c>
      <c r="I22" s="45" t="s">
        <v>47</v>
      </c>
      <c r="L22" s="30" t="s">
        <v>30</v>
      </c>
      <c r="M22" s="16"/>
      <c r="N22" s="16"/>
      <c r="O22" s="31">
        <f>+O18/$G$20-1</f>
        <v>0.17018708437859775</v>
      </c>
    </row>
    <row r="23" spans="3:15">
      <c r="L23" s="39" t="s">
        <v>25</v>
      </c>
      <c r="M23" s="25"/>
      <c r="N23" s="25"/>
      <c r="O23" s="51">
        <v>0.17019035010196576</v>
      </c>
    </row>
    <row r="25" spans="3:15">
      <c r="L25" s="41" t="s">
        <v>44</v>
      </c>
      <c r="M25" s="6"/>
      <c r="N25" s="6"/>
      <c r="O25" s="42">
        <v>0</v>
      </c>
    </row>
    <row r="27" spans="3:15">
      <c r="L27" s="41" t="s">
        <v>55</v>
      </c>
      <c r="M27" s="6"/>
      <c r="N27" s="6"/>
      <c r="O27" s="49">
        <v>0</v>
      </c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82D1D-5149-452A-899A-358385421B38}">
  <sheetPr>
    <tabColor theme="3"/>
    <pageSetUpPr fitToPage="1"/>
  </sheetPr>
  <dimension ref="C3:O50"/>
  <sheetViews>
    <sheetView showGridLines="0" view="pageBreakPreview" zoomScaleNormal="12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64</v>
      </c>
      <c r="D9" s="2"/>
      <c r="E9" s="2"/>
      <c r="F9" s="2"/>
      <c r="G9" s="2"/>
      <c r="H9" s="2"/>
      <c r="I9" s="2"/>
    </row>
    <row r="10" spans="3:9">
      <c r="C10" s="2" t="s">
        <v>65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f>'I05'!E17+'I06 TOU'!E17</f>
        <v>12227.584599999998</v>
      </c>
      <c r="F17" s="13">
        <v>15</v>
      </c>
      <c r="G17" s="14">
        <f>+F17*$E17</f>
        <v>183413.76899999997</v>
      </c>
      <c r="H17" s="13">
        <f>'I01+I06'!$H$17</f>
        <v>25</v>
      </c>
      <c r="I17" s="14">
        <f>+H17*$E17</f>
        <v>305689.61499999993</v>
      </c>
      <c r="L17" s="15" t="str">
        <f>+_xlfn.CONCAT(C9,", ",C10)</f>
        <v>Residential Service - Time-of-Use, Schedule 5 + 6 TOU</v>
      </c>
      <c r="M17" s="16"/>
      <c r="N17" s="16"/>
      <c r="O17" s="17"/>
    </row>
    <row r="18" spans="3:15">
      <c r="C18" s="12">
        <f>+C17-1</f>
        <v>-2</v>
      </c>
      <c r="D18" s="3" t="s">
        <v>22</v>
      </c>
      <c r="E18" s="8">
        <f>'I05'!E18+'I06 TOU'!E18</f>
        <v>14</v>
      </c>
      <c r="F18" s="18">
        <v>3</v>
      </c>
      <c r="G18" s="8">
        <f>+F18*$E18</f>
        <v>42</v>
      </c>
      <c r="H18" s="18">
        <f>F18</f>
        <v>3</v>
      </c>
      <c r="I18" s="8">
        <f>+H18*$E18</f>
        <v>42</v>
      </c>
      <c r="L18" s="19" t="s">
        <v>23</v>
      </c>
      <c r="O18" s="20">
        <f>+I30</f>
        <v>2459609.8529723529</v>
      </c>
    </row>
    <row r="19" spans="3:15">
      <c r="C19" s="12">
        <f t="shared" ref="C19:C30" si="0">+C18-1</f>
        <v>-3</v>
      </c>
      <c r="D19" s="21" t="s">
        <v>24</v>
      </c>
      <c r="L19" s="19" t="s">
        <v>25</v>
      </c>
      <c r="O19" s="20">
        <f>+G30*(1+O23)</f>
        <v>2459614.2740961728</v>
      </c>
    </row>
    <row r="20" spans="3:15">
      <c r="C20" s="12">
        <f t="shared" si="0"/>
        <v>-4</v>
      </c>
      <c r="D20" s="22" t="s">
        <v>66</v>
      </c>
      <c r="E20" s="8">
        <f>'I05'!E20+'I06 TOU'!E20</f>
        <v>1031678.8500560303</v>
      </c>
      <c r="F20" s="23">
        <v>0.25295699999999999</v>
      </c>
      <c r="G20" s="14">
        <f>+F20*$E20</f>
        <v>260970.38687362324</v>
      </c>
      <c r="H20" s="23">
        <v>0.32296799999999998</v>
      </c>
      <c r="I20" s="14">
        <f>+H20*$E20</f>
        <v>333199.25484489597</v>
      </c>
      <c r="L20" s="24" t="s">
        <v>27</v>
      </c>
      <c r="M20" s="25"/>
      <c r="N20" s="25"/>
      <c r="O20" s="26">
        <f>+O18-O19</f>
        <v>-4.4211238198913634</v>
      </c>
    </row>
    <row r="21" spans="3:15">
      <c r="C21" s="12">
        <f t="shared" si="0"/>
        <v>-5</v>
      </c>
      <c r="D21" s="22" t="s">
        <v>67</v>
      </c>
      <c r="E21" s="8">
        <f>'I05'!E21+'I06 TOU'!E21</f>
        <v>1078494.3378453788</v>
      </c>
      <c r="F21" s="27">
        <v>0.12648000000000001</v>
      </c>
      <c r="G21" s="8">
        <f>+F21*$E21</f>
        <v>136407.96385068353</v>
      </c>
      <c r="H21" s="27">
        <v>0.16148399999999999</v>
      </c>
      <c r="I21" s="8">
        <f>+H21*$E21</f>
        <v>174159.57965262313</v>
      </c>
      <c r="L21" s="52"/>
      <c r="O21" s="14"/>
    </row>
    <row r="22" spans="3:15" ht="14.25">
      <c r="C22" s="12">
        <f t="shared" si="0"/>
        <v>-6</v>
      </c>
      <c r="D22" s="22" t="s">
        <v>68</v>
      </c>
      <c r="E22" s="28">
        <f>'I05'!E22+'I06 TOU'!E22</f>
        <v>3821764.4690805138</v>
      </c>
      <c r="F22" s="29">
        <v>6.3241000000000006E-2</v>
      </c>
      <c r="G22" s="28">
        <f>+F22*$E22</f>
        <v>241692.2067891208</v>
      </c>
      <c r="H22" s="29">
        <v>8.0741999999999994E-2</v>
      </c>
      <c r="I22" s="28">
        <f>+H22*$E22</f>
        <v>308576.90676249884</v>
      </c>
      <c r="L22" s="30" t="s">
        <v>30</v>
      </c>
      <c r="M22" s="16"/>
      <c r="N22" s="16"/>
      <c r="O22" s="31">
        <f>+O18/$G$30-1</f>
        <v>0.17018824670043431</v>
      </c>
    </row>
    <row r="23" spans="3:15">
      <c r="C23" s="12">
        <f t="shared" si="0"/>
        <v>-7</v>
      </c>
      <c r="D23" s="3" t="s">
        <v>31</v>
      </c>
      <c r="E23" s="8">
        <f>+SUM(E20:E22)</f>
        <v>5931937.6569819227</v>
      </c>
      <c r="F23" s="23">
        <f>+G23/$E23</f>
        <v>0.10773386277268746</v>
      </c>
      <c r="G23" s="14">
        <f>+SUM(G20:G22)</f>
        <v>639070.55751342757</v>
      </c>
      <c r="H23" s="23">
        <f>(O19-I17-I18)/(SUM(E20:E22)+(SUM(E25:E26))/O26)</f>
        <v>0.13754955073469607</v>
      </c>
      <c r="I23" s="14">
        <f>+SUM(I20:I22)</f>
        <v>815935.74126001797</v>
      </c>
      <c r="L23" s="19" t="s">
        <v>25</v>
      </c>
      <c r="O23" s="32">
        <v>0.17019035010196576</v>
      </c>
    </row>
    <row r="24" spans="3:15">
      <c r="C24" s="12">
        <f t="shared" si="0"/>
        <v>-8</v>
      </c>
      <c r="D24" s="33" t="s">
        <v>32</v>
      </c>
      <c r="H24" s="23"/>
      <c r="L24" s="19" t="s">
        <v>33</v>
      </c>
      <c r="O24" s="34">
        <v>1.3903844021719223</v>
      </c>
    </row>
    <row r="25" spans="3:15">
      <c r="C25" s="12">
        <f t="shared" si="0"/>
        <v>-9</v>
      </c>
      <c r="D25" s="22" t="s">
        <v>66</v>
      </c>
      <c r="E25" s="8">
        <f>'I05'!E25+'I06 TOU'!E25</f>
        <v>3071371.407074864</v>
      </c>
      <c r="F25" s="23">
        <v>0.13114999999999999</v>
      </c>
      <c r="G25" s="14">
        <f>+F25*$E25</f>
        <v>402810.36003786838</v>
      </c>
      <c r="H25" s="23">
        <v>0.143396</v>
      </c>
      <c r="I25" s="14">
        <f>+H25*$E25</f>
        <v>440422.37428890722</v>
      </c>
      <c r="L25" s="19" t="s">
        <v>34</v>
      </c>
      <c r="O25" s="34">
        <f>+F23/F27</f>
        <v>1.0969832174877334</v>
      </c>
    </row>
    <row r="26" spans="3:15" ht="14.25">
      <c r="C26" s="12">
        <f t="shared" si="0"/>
        <v>-10</v>
      </c>
      <c r="D26" s="22" t="s">
        <v>68</v>
      </c>
      <c r="E26" s="28">
        <f>'I05'!E26+'I06 TOU'!E26</f>
        <v>9388580.4201327227</v>
      </c>
      <c r="F26" s="29">
        <v>8.7432999999999997E-2</v>
      </c>
      <c r="G26" s="28">
        <f>+F26*$E26</f>
        <v>820871.75187346432</v>
      </c>
      <c r="H26" s="29">
        <v>9.5597000000000001E-2</v>
      </c>
      <c r="I26" s="28">
        <f>+H26*$E26</f>
        <v>897520.12242342788</v>
      </c>
      <c r="L26" s="39" t="s">
        <v>35</v>
      </c>
      <c r="M26" s="25"/>
      <c r="N26" s="25"/>
      <c r="O26" s="40">
        <f>'I01+I06'!$O$26</f>
        <v>1.280962842697225</v>
      </c>
    </row>
    <row r="27" spans="3:15" ht="14.25">
      <c r="C27" s="12">
        <f t="shared" si="0"/>
        <v>-11</v>
      </c>
      <c r="D27" s="3" t="s">
        <v>37</v>
      </c>
      <c r="E27" s="28">
        <f>+SUM(E25:E26)</f>
        <v>12459951.827207588</v>
      </c>
      <c r="F27" s="23">
        <f>+G27/$E27</f>
        <v>9.8209216928053997E-2</v>
      </c>
      <c r="G27" s="35">
        <f>+SUM(G25:G26)</f>
        <v>1223682.1119113327</v>
      </c>
      <c r="H27" s="23">
        <f>+H23/O26</f>
        <v>0.10737981317636705</v>
      </c>
      <c r="I27" s="35">
        <f>+SUM(I25:I26)</f>
        <v>1337942.4967123352</v>
      </c>
    </row>
    <row r="28" spans="3:15">
      <c r="C28" s="12">
        <f t="shared" si="0"/>
        <v>-12</v>
      </c>
      <c r="D28" s="3" t="s">
        <v>39</v>
      </c>
      <c r="E28" s="8">
        <f>+SUM(E27,E23)</f>
        <v>18391889.48418951</v>
      </c>
      <c r="F28" s="23"/>
      <c r="G28" s="14">
        <f>+SUM(G27,G23)</f>
        <v>1862752.6694247602</v>
      </c>
      <c r="I28" s="14">
        <f>+SUM(I27,I23)</f>
        <v>2153878.2379723531</v>
      </c>
      <c r="L28" s="53" t="s">
        <v>69</v>
      </c>
      <c r="M28" s="16"/>
      <c r="N28" s="16"/>
      <c r="O28" s="54">
        <f>+F20/$F$22</f>
        <v>3.999889312313214</v>
      </c>
    </row>
    <row r="29" spans="3:15">
      <c r="C29" s="12">
        <f t="shared" si="0"/>
        <v>-13</v>
      </c>
      <c r="D29" s="3" t="s">
        <v>41</v>
      </c>
      <c r="G29" s="38">
        <f>'I05'!G29+'I06 TOU'!G29</f>
        <v>55684.02196157955</v>
      </c>
      <c r="L29" s="55" t="s">
        <v>70</v>
      </c>
      <c r="O29" s="56">
        <f>+F21/$F$22</f>
        <v>1.9999683749466326</v>
      </c>
    </row>
    <row r="30" spans="3:15">
      <c r="C30" s="12">
        <f t="shared" si="0"/>
        <v>-14</v>
      </c>
      <c r="D30" s="3" t="s">
        <v>43</v>
      </c>
      <c r="G30" s="14">
        <f>+SUM(G17:G18,G23,G27,G29)</f>
        <v>2101892.4603863396</v>
      </c>
      <c r="I30" s="14">
        <f>+SUM(I28,I17:I18)</f>
        <v>2459609.8529723529</v>
      </c>
      <c r="L30" s="55" t="s">
        <v>71</v>
      </c>
      <c r="O30" s="56">
        <f>+F25/$F$26</f>
        <v>1.5000057186645774</v>
      </c>
    </row>
    <row r="31" spans="3:15">
      <c r="L31" s="55" t="s">
        <v>72</v>
      </c>
      <c r="O31" s="56">
        <v>4</v>
      </c>
    </row>
    <row r="32" spans="3:15">
      <c r="C32" s="43" t="s">
        <v>45</v>
      </c>
      <c r="D32" s="44" t="s">
        <v>46</v>
      </c>
      <c r="E32" s="44" t="s">
        <v>46</v>
      </c>
      <c r="F32" s="44" t="s">
        <v>46</v>
      </c>
      <c r="G32" s="44" t="s">
        <v>46</v>
      </c>
      <c r="H32" s="44" t="s">
        <v>46</v>
      </c>
      <c r="I32" s="45" t="s">
        <v>47</v>
      </c>
      <c r="L32" s="55" t="s">
        <v>73</v>
      </c>
      <c r="M32" s="9"/>
      <c r="N32" s="9"/>
      <c r="O32" s="56">
        <v>2</v>
      </c>
    </row>
    <row r="33" spans="7:15">
      <c r="G33" s="14"/>
      <c r="L33" s="57" t="s">
        <v>74</v>
      </c>
      <c r="M33" s="58"/>
      <c r="N33" s="58"/>
      <c r="O33" s="59">
        <v>1.5</v>
      </c>
    </row>
    <row r="35" spans="7:15">
      <c r="H35" s="13"/>
      <c r="L35" s="41" t="s">
        <v>44</v>
      </c>
      <c r="M35" s="6"/>
      <c r="N35" s="6"/>
      <c r="O35" s="42">
        <v>0</v>
      </c>
    </row>
    <row r="36" spans="7:15">
      <c r="H36" s="13"/>
    </row>
    <row r="37" spans="7:15">
      <c r="H37" s="13"/>
      <c r="L37" s="41" t="s">
        <v>55</v>
      </c>
      <c r="M37" s="6"/>
      <c r="N37" s="6"/>
      <c r="O37" s="49">
        <v>0</v>
      </c>
    </row>
    <row r="41" spans="7:15">
      <c r="N41" s="23"/>
      <c r="O41" s="23"/>
    </row>
    <row r="42" spans="7:15">
      <c r="N42" s="23"/>
      <c r="O42" s="23"/>
    </row>
    <row r="43" spans="7:15">
      <c r="N43" s="23"/>
      <c r="O43" s="23"/>
    </row>
    <row r="44" spans="7:15">
      <c r="N44" s="23"/>
      <c r="O44" s="23"/>
    </row>
    <row r="47" spans="7:15">
      <c r="N47" s="23"/>
      <c r="O47" s="23"/>
    </row>
    <row r="48" spans="7:15">
      <c r="N48" s="23"/>
      <c r="O48" s="23"/>
    </row>
    <row r="49" spans="14:15">
      <c r="N49" s="23"/>
      <c r="O49" s="23"/>
    </row>
    <row r="50" spans="14:15">
      <c r="N50" s="23"/>
      <c r="O50" s="23"/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AC5FF-CB11-42D3-ADAC-2D03F7CAD655}">
  <sheetPr>
    <tabColor theme="3"/>
    <pageSetUpPr fitToPage="1"/>
  </sheetPr>
  <dimension ref="C3:O37"/>
  <sheetViews>
    <sheetView showGridLines="0" view="pageBreakPreview" zoomScaleNormal="9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75</v>
      </c>
      <c r="D9" s="2"/>
      <c r="E9" s="2"/>
      <c r="F9" s="2"/>
      <c r="G9" s="2"/>
      <c r="H9" s="2"/>
      <c r="I9" s="2"/>
    </row>
    <row r="10" spans="3:9">
      <c r="C10" s="2" t="s">
        <v>76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v>11881.599999999999</v>
      </c>
      <c r="F17" s="13">
        <v>15</v>
      </c>
      <c r="G17" s="14">
        <f>+F17*$E17</f>
        <v>178223.99999999997</v>
      </c>
      <c r="H17" s="13">
        <f>'I05+IO6 TOU'!H17</f>
        <v>25</v>
      </c>
      <c r="I17" s="14">
        <f>+H17*$E17</f>
        <v>297039.99999999994</v>
      </c>
      <c r="L17" s="15" t="str">
        <f>+_xlfn.CONCAT(C9,", ",C10)</f>
        <v>Residential Service - Time-of-Use Plan, Schedule 5</v>
      </c>
      <c r="M17" s="16"/>
      <c r="N17" s="16"/>
      <c r="O17" s="17"/>
    </row>
    <row r="18" spans="3:15">
      <c r="C18" s="12">
        <f>+C17-1</f>
        <v>-2</v>
      </c>
      <c r="D18" s="3" t="s">
        <v>22</v>
      </c>
      <c r="E18" s="8">
        <v>11</v>
      </c>
      <c r="F18" s="18">
        <v>3</v>
      </c>
      <c r="G18" s="8">
        <f>+F18*$E18</f>
        <v>33</v>
      </c>
      <c r="H18" s="18">
        <f>F18</f>
        <v>3</v>
      </c>
      <c r="I18" s="8">
        <f>+H18*$E18</f>
        <v>33</v>
      </c>
      <c r="L18" s="19" t="s">
        <v>23</v>
      </c>
      <c r="O18" s="20">
        <f>+I30</f>
        <v>2410787.5910172965</v>
      </c>
    </row>
    <row r="19" spans="3:15">
      <c r="C19" s="12">
        <f t="shared" ref="C19:C30" si="0">+C18-1</f>
        <v>-3</v>
      </c>
      <c r="D19" s="21" t="s">
        <v>24</v>
      </c>
      <c r="L19" s="19" t="s">
        <v>25</v>
      </c>
      <c r="O19" s="20">
        <f>+G30*(1+O23)</f>
        <v>2411037.0840855143</v>
      </c>
    </row>
    <row r="20" spans="3:15">
      <c r="C20" s="12">
        <f t="shared" si="0"/>
        <v>-4</v>
      </c>
      <c r="D20" s="22" t="s">
        <v>66</v>
      </c>
      <c r="E20" s="8">
        <v>1017778.9218659179</v>
      </c>
      <c r="F20" s="23">
        <v>0.25295699999999999</v>
      </c>
      <c r="G20" s="14">
        <f>+F20*$E20</f>
        <v>257454.30273843696</v>
      </c>
      <c r="H20" s="23">
        <f>'I05+IO6 TOU'!H20</f>
        <v>0.32296799999999998</v>
      </c>
      <c r="I20" s="14">
        <f>+H20*$E20</f>
        <v>328710.02283719176</v>
      </c>
      <c r="L20" s="24" t="s">
        <v>27</v>
      </c>
      <c r="M20" s="25"/>
      <c r="N20" s="25"/>
      <c r="O20" s="26">
        <f>+O18-O19</f>
        <v>-249.49306821776554</v>
      </c>
    </row>
    <row r="21" spans="3:15">
      <c r="C21" s="12">
        <f t="shared" si="0"/>
        <v>-5</v>
      </c>
      <c r="D21" s="22" t="s">
        <v>67</v>
      </c>
      <c r="E21" s="8">
        <v>1073980.3815413809</v>
      </c>
      <c r="F21" s="27">
        <v>0.12648000000000001</v>
      </c>
      <c r="G21" s="8">
        <f>+F21*$E21</f>
        <v>135837.03865735387</v>
      </c>
      <c r="H21" s="27">
        <f>'I05+IO6 TOU'!H21</f>
        <v>0.16148399999999999</v>
      </c>
      <c r="I21" s="8">
        <f>+H21*$E21</f>
        <v>173430.64793282835</v>
      </c>
      <c r="L21" s="52"/>
      <c r="O21" s="14"/>
    </row>
    <row r="22" spans="3:15" ht="14.25">
      <c r="C22" s="12">
        <f t="shared" si="0"/>
        <v>-6</v>
      </c>
      <c r="D22" s="22" t="s">
        <v>68</v>
      </c>
      <c r="E22" s="28">
        <v>3741491.8808120908</v>
      </c>
      <c r="F22" s="29">
        <v>6.3241000000000006E-2</v>
      </c>
      <c r="G22" s="28">
        <f>+F22*$E22</f>
        <v>236615.68803443745</v>
      </c>
      <c r="H22" s="29">
        <f>'I05+IO6 TOU'!H22</f>
        <v>8.0741999999999994E-2</v>
      </c>
      <c r="I22" s="28">
        <f>+H22*$E22</f>
        <v>302095.53744052979</v>
      </c>
      <c r="L22" s="30" t="s">
        <v>30</v>
      </c>
      <c r="M22" s="16"/>
      <c r="N22" s="16"/>
      <c r="O22" s="31">
        <f>+O18/$G$30-1</f>
        <v>0.17006925931378469</v>
      </c>
    </row>
    <row r="23" spans="3:15">
      <c r="C23" s="12">
        <f t="shared" si="0"/>
        <v>-7</v>
      </c>
      <c r="D23" s="3" t="s">
        <v>31</v>
      </c>
      <c r="E23" s="8">
        <f>+SUM(E20:E22)</f>
        <v>5833251.1842193902</v>
      </c>
      <c r="F23" s="23">
        <f>+G23/$E23</f>
        <v>0.10798558291717432</v>
      </c>
      <c r="G23" s="14">
        <f>+SUM(G20:G22)</f>
        <v>629907.02943022829</v>
      </c>
      <c r="H23" s="23">
        <f>I23/E23</f>
        <v>0.13787100586140341</v>
      </c>
      <c r="I23" s="14">
        <f>+SUM(I20:I22)</f>
        <v>804236.2082105499</v>
      </c>
      <c r="L23" s="19" t="s">
        <v>25</v>
      </c>
      <c r="O23" s="32">
        <v>0.17019035010196576</v>
      </c>
    </row>
    <row r="24" spans="3:15">
      <c r="C24" s="12">
        <f t="shared" si="0"/>
        <v>-8</v>
      </c>
      <c r="D24" s="33" t="s">
        <v>32</v>
      </c>
      <c r="H24" s="23"/>
      <c r="L24" s="19" t="s">
        <v>33</v>
      </c>
      <c r="O24" s="34">
        <v>1.3903844021719223</v>
      </c>
    </row>
    <row r="25" spans="3:15">
      <c r="C25" s="12">
        <f t="shared" si="0"/>
        <v>-9</v>
      </c>
      <c r="D25" s="22" t="s">
        <v>66</v>
      </c>
      <c r="E25" s="8">
        <v>3016126.5952911722</v>
      </c>
      <c r="F25" s="23">
        <v>0.13114999999999999</v>
      </c>
      <c r="G25" s="14">
        <f>+F25*$E25</f>
        <v>395565.00297243719</v>
      </c>
      <c r="H25" s="23">
        <f>'I05+IO6 TOU'!H25</f>
        <v>0.143396</v>
      </c>
      <c r="I25" s="14">
        <f>+H25*$E25</f>
        <v>432500.48925837292</v>
      </c>
      <c r="L25" s="19" t="s">
        <v>34</v>
      </c>
      <c r="O25" s="34">
        <f>+F23/F27</f>
        <v>1.0990911077470857</v>
      </c>
    </row>
    <row r="26" spans="3:15" ht="14.25">
      <c r="C26" s="12">
        <f t="shared" si="0"/>
        <v>-10</v>
      </c>
      <c r="D26" s="22" t="s">
        <v>68</v>
      </c>
      <c r="E26" s="28">
        <v>9173696.8058450967</v>
      </c>
      <c r="F26" s="29">
        <v>8.7432999999999997E-2</v>
      </c>
      <c r="G26" s="28">
        <f>+F26*$E26</f>
        <v>802083.8328254543</v>
      </c>
      <c r="H26" s="29">
        <f>'I05+IO6 TOU'!H26</f>
        <v>9.5597000000000001E-2</v>
      </c>
      <c r="I26" s="28">
        <f>+H26*$E26</f>
        <v>876977.89354837372</v>
      </c>
      <c r="L26" s="39" t="s">
        <v>35</v>
      </c>
      <c r="M26" s="25"/>
      <c r="N26" s="25"/>
      <c r="O26" s="40">
        <f>+H23/H27</f>
        <v>1.2834295209862643</v>
      </c>
    </row>
    <row r="27" spans="3:15" ht="14.25">
      <c r="C27" s="12">
        <f t="shared" si="0"/>
        <v>-11</v>
      </c>
      <c r="D27" s="3" t="s">
        <v>37</v>
      </c>
      <c r="E27" s="28">
        <f>+SUM(E25:E26)</f>
        <v>12189823.401136268</v>
      </c>
      <c r="F27" s="23">
        <f>+G27/$E27</f>
        <v>9.8249892257360624E-2</v>
      </c>
      <c r="G27" s="35">
        <f>+SUM(G25:G26)</f>
        <v>1197648.8357978915</v>
      </c>
      <c r="H27" s="23">
        <f>I27/E27</f>
        <v>0.10742390104557908</v>
      </c>
      <c r="I27" s="35">
        <f>+SUM(I25:I26)</f>
        <v>1309478.3828067468</v>
      </c>
    </row>
    <row r="28" spans="3:15">
      <c r="C28" s="12">
        <f t="shared" si="0"/>
        <v>-12</v>
      </c>
      <c r="D28" s="3" t="s">
        <v>39</v>
      </c>
      <c r="E28" s="8">
        <f>+SUM(E27,E23)</f>
        <v>18023074.585355658</v>
      </c>
      <c r="F28" s="23"/>
      <c r="G28" s="14">
        <f>+SUM(G27,G23)</f>
        <v>1827555.8652281198</v>
      </c>
      <c r="I28" s="14">
        <f>+SUM(I27,I23)</f>
        <v>2113714.5910172965</v>
      </c>
      <c r="L28" s="53" t="s">
        <v>69</v>
      </c>
      <c r="M28" s="16"/>
      <c r="N28" s="16"/>
      <c r="O28" s="54">
        <f>+F20/$F$22</f>
        <v>3.999889312313214</v>
      </c>
    </row>
    <row r="29" spans="3:15">
      <c r="C29" s="12">
        <f t="shared" si="0"/>
        <v>-13</v>
      </c>
      <c r="D29" s="3" t="s">
        <v>41</v>
      </c>
      <c r="G29" s="38">
        <v>54567.383058345782</v>
      </c>
      <c r="L29" s="55" t="s">
        <v>70</v>
      </c>
      <c r="O29" s="56">
        <f>+F21/$F$22</f>
        <v>1.9999683749466326</v>
      </c>
    </row>
    <row r="30" spans="3:15">
      <c r="C30" s="12">
        <f t="shared" si="0"/>
        <v>-14</v>
      </c>
      <c r="D30" s="3" t="s">
        <v>43</v>
      </c>
      <c r="G30" s="14">
        <f>+SUM(G17:G18,G23,G27,G29)</f>
        <v>2060380.2482864656</v>
      </c>
      <c r="I30" s="14">
        <f>+SUM(I28,I17:I18)</f>
        <v>2410787.5910172965</v>
      </c>
      <c r="L30" s="55" t="s">
        <v>71</v>
      </c>
      <c r="O30" s="56">
        <f>+F25/$F$26</f>
        <v>1.5000057186645774</v>
      </c>
    </row>
    <row r="31" spans="3:15">
      <c r="L31" s="55" t="s">
        <v>72</v>
      </c>
      <c r="O31" s="56">
        <f>+H20/H22</f>
        <v>4</v>
      </c>
    </row>
    <row r="32" spans="3:15">
      <c r="C32" s="43" t="s">
        <v>45</v>
      </c>
      <c r="D32" s="44" t="s">
        <v>46</v>
      </c>
      <c r="E32" s="44" t="s">
        <v>46</v>
      </c>
      <c r="F32" s="44" t="s">
        <v>46</v>
      </c>
      <c r="G32" s="44" t="s">
        <v>46</v>
      </c>
      <c r="H32" s="44" t="s">
        <v>46</v>
      </c>
      <c r="I32" s="45" t="s">
        <v>47</v>
      </c>
      <c r="L32" s="55" t="s">
        <v>73</v>
      </c>
      <c r="M32" s="9"/>
      <c r="N32" s="9"/>
      <c r="O32" s="56">
        <f>+H21/H22</f>
        <v>2</v>
      </c>
    </row>
    <row r="33" spans="8:15">
      <c r="L33" s="57" t="s">
        <v>74</v>
      </c>
      <c r="M33" s="58"/>
      <c r="N33" s="58"/>
      <c r="O33" s="59">
        <f>+H25/H26</f>
        <v>1.5000052302896534</v>
      </c>
    </row>
    <row r="35" spans="8:15">
      <c r="H35" s="13"/>
      <c r="L35" s="41" t="s">
        <v>44</v>
      </c>
      <c r="M35" s="6"/>
      <c r="N35" s="6"/>
      <c r="O35" s="42">
        <v>0</v>
      </c>
    </row>
    <row r="36" spans="8:15">
      <c r="H36" s="13"/>
    </row>
    <row r="37" spans="8:15">
      <c r="H37" s="13"/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D5D06-C1AB-4BA4-838D-07FE52A177F4}">
  <sheetPr>
    <tabColor theme="3"/>
    <pageSetUpPr fitToPage="1"/>
  </sheetPr>
  <dimension ref="C3:O46"/>
  <sheetViews>
    <sheetView showGridLines="0" view="pageBreakPreview" zoomScaleNormal="12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64</v>
      </c>
      <c r="D9" s="2"/>
      <c r="E9" s="2"/>
      <c r="F9" s="2"/>
      <c r="G9" s="2"/>
      <c r="H9" s="2"/>
      <c r="I9" s="2"/>
    </row>
    <row r="10" spans="3:9">
      <c r="C10" s="2" t="s">
        <v>77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v>345.9846</v>
      </c>
      <c r="F17" s="13">
        <v>15</v>
      </c>
      <c r="G17" s="14">
        <f>+F17*$E17</f>
        <v>5189.7690000000002</v>
      </c>
      <c r="H17" s="13">
        <f>'I05+IO6 TOU'!H17</f>
        <v>25</v>
      </c>
      <c r="I17" s="14">
        <f>+H17*$E17</f>
        <v>8649.6149999999998</v>
      </c>
      <c r="L17" s="15" t="str">
        <f>+_xlfn.CONCAT(C9,", ",C10)</f>
        <v>Residential Service - Time-of-Use, Schedule 6 TOU</v>
      </c>
      <c r="M17" s="16"/>
      <c r="N17" s="16"/>
      <c r="O17" s="17"/>
    </row>
    <row r="18" spans="3:15">
      <c r="C18" s="12">
        <f>+C17-1</f>
        <v>-2</v>
      </c>
      <c r="D18" s="3" t="s">
        <v>22</v>
      </c>
      <c r="E18" s="8">
        <v>3</v>
      </c>
      <c r="F18" s="18">
        <v>3</v>
      </c>
      <c r="G18" s="8">
        <f>+F18*$E18</f>
        <v>9</v>
      </c>
      <c r="H18" s="18">
        <f>F18</f>
        <v>3</v>
      </c>
      <c r="I18" s="8">
        <f>+H18*$E18</f>
        <v>9</v>
      </c>
      <c r="L18" s="19" t="s">
        <v>23</v>
      </c>
      <c r="O18" s="20">
        <f>+I30</f>
        <v>48822.261955056565</v>
      </c>
    </row>
    <row r="19" spans="3:15">
      <c r="C19" s="12">
        <f t="shared" ref="C19:C30" si="0">+C18-1</f>
        <v>-3</v>
      </c>
      <c r="D19" s="21" t="s">
        <v>24</v>
      </c>
      <c r="L19" s="19" t="s">
        <v>25</v>
      </c>
      <c r="O19" s="20">
        <f>+G30*(1+O23)</f>
        <v>48577.190010658938</v>
      </c>
    </row>
    <row r="20" spans="3:15">
      <c r="C20" s="12">
        <f t="shared" si="0"/>
        <v>-4</v>
      </c>
      <c r="D20" s="22" t="s">
        <v>66</v>
      </c>
      <c r="E20" s="8">
        <v>13899.928190112512</v>
      </c>
      <c r="F20" s="23">
        <v>0.25295699999999999</v>
      </c>
      <c r="G20" s="14">
        <f>+F20*$E20</f>
        <v>3516.0841351862905</v>
      </c>
      <c r="H20" s="23">
        <f>'I05+IO6 TOU'!H20</f>
        <v>0.32296799999999998</v>
      </c>
      <c r="I20" s="14">
        <f>+H20*$E20</f>
        <v>4489.2320077042577</v>
      </c>
      <c r="L20" s="24" t="s">
        <v>27</v>
      </c>
      <c r="M20" s="25"/>
      <c r="N20" s="25"/>
      <c r="O20" s="26">
        <f>+O18-O19</f>
        <v>245.07194439762679</v>
      </c>
    </row>
    <row r="21" spans="3:15">
      <c r="C21" s="12">
        <f t="shared" si="0"/>
        <v>-5</v>
      </c>
      <c r="D21" s="22" t="s">
        <v>67</v>
      </c>
      <c r="E21" s="8">
        <v>4513.9563039978821</v>
      </c>
      <c r="F21" s="27">
        <v>0.12648000000000001</v>
      </c>
      <c r="G21" s="8">
        <f>+F21*$E21</f>
        <v>570.92519332965219</v>
      </c>
      <c r="H21" s="27">
        <f>'I05+IO6 TOU'!H21</f>
        <v>0.16148399999999999</v>
      </c>
      <c r="I21" s="8">
        <f>+H21*$E21</f>
        <v>728.93171979479393</v>
      </c>
      <c r="L21" s="52"/>
      <c r="O21" s="14"/>
    </row>
    <row r="22" spans="3:15" ht="14.25">
      <c r="C22" s="12">
        <f t="shared" si="0"/>
        <v>-6</v>
      </c>
      <c r="D22" s="22" t="s">
        <v>68</v>
      </c>
      <c r="E22" s="28">
        <v>80272.588268423162</v>
      </c>
      <c r="F22" s="29">
        <v>6.3241000000000006E-2</v>
      </c>
      <c r="G22" s="28">
        <f>+F22*$E22</f>
        <v>5076.5187546833495</v>
      </c>
      <c r="H22" s="29">
        <f>'I05+IO6 TOU'!H22</f>
        <v>8.0741999999999994E-2</v>
      </c>
      <c r="I22" s="28">
        <f>+H22*$E22</f>
        <v>6481.3693219690222</v>
      </c>
      <c r="L22" s="30" t="s">
        <v>30</v>
      </c>
      <c r="M22" s="16"/>
      <c r="N22" s="16"/>
      <c r="O22" s="31">
        <f>+O18/$G$30-1</f>
        <v>0.17609396091913943</v>
      </c>
    </row>
    <row r="23" spans="3:15">
      <c r="C23" s="12">
        <f t="shared" si="0"/>
        <v>-7</v>
      </c>
      <c r="D23" s="3" t="s">
        <v>31</v>
      </c>
      <c r="E23" s="8">
        <f>+SUM(E20:E22)</f>
        <v>98686.472762533551</v>
      </c>
      <c r="F23" s="23">
        <f>+G23/$E23</f>
        <v>9.2854955969996308E-2</v>
      </c>
      <c r="G23" s="14">
        <f>+SUM(G20:G22)</f>
        <v>9163.5280831992932</v>
      </c>
      <c r="H23" s="23">
        <f>I23/E23</f>
        <v>0.11855255053669136</v>
      </c>
      <c r="I23" s="14">
        <f>+SUM(I20:I22)</f>
        <v>11699.533049468075</v>
      </c>
      <c r="L23" s="19" t="s">
        <v>25</v>
      </c>
      <c r="O23" s="32">
        <f>'I01+I06'!$O$23</f>
        <v>0.17019035010196576</v>
      </c>
    </row>
    <row r="24" spans="3:15">
      <c r="C24" s="12">
        <f t="shared" si="0"/>
        <v>-8</v>
      </c>
      <c r="D24" s="33" t="s">
        <v>32</v>
      </c>
      <c r="L24" s="19" t="s">
        <v>33</v>
      </c>
      <c r="O24" s="34">
        <f>'I01'!$O$24</f>
        <v>1.3903844021719223</v>
      </c>
    </row>
    <row r="25" spans="3:15">
      <c r="C25" s="12">
        <f t="shared" si="0"/>
        <v>-9</v>
      </c>
      <c r="D25" s="22" t="s">
        <v>66</v>
      </c>
      <c r="E25" s="8">
        <v>55244.811783692086</v>
      </c>
      <c r="F25" s="23">
        <v>0.13114999999999999</v>
      </c>
      <c r="G25" s="14">
        <f>+F25*$E25</f>
        <v>7245.3570654312161</v>
      </c>
      <c r="H25" s="23">
        <f>'I05+IO6 TOU'!H25</f>
        <v>0.143396</v>
      </c>
      <c r="I25" s="14">
        <f>+H25*$E25</f>
        <v>7921.8850305343103</v>
      </c>
      <c r="L25" s="19" t="s">
        <v>34</v>
      </c>
      <c r="O25" s="34">
        <f>+F23/F27</f>
        <v>0.96348853674033685</v>
      </c>
    </row>
    <row r="26" spans="3:15" ht="14.25">
      <c r="C26" s="12">
        <f t="shared" si="0"/>
        <v>-10</v>
      </c>
      <c r="D26" s="22" t="s">
        <v>68</v>
      </c>
      <c r="E26" s="28">
        <v>214883.61428762594</v>
      </c>
      <c r="F26" s="29">
        <v>8.7432999999999997E-2</v>
      </c>
      <c r="G26" s="28">
        <f>+F26*$E26</f>
        <v>18787.919048009997</v>
      </c>
      <c r="H26" s="29">
        <f>'I05+IO6 TOU'!H26</f>
        <v>9.5597000000000001E-2</v>
      </c>
      <c r="I26" s="28">
        <f>+H26*$E26</f>
        <v>20542.228875054177</v>
      </c>
      <c r="L26" s="39" t="s">
        <v>35</v>
      </c>
      <c r="M26" s="25"/>
      <c r="N26" s="25"/>
      <c r="O26" s="40">
        <f>+AVERAGE(O24:O25)</f>
        <v>1.1769364694561295</v>
      </c>
    </row>
    <row r="27" spans="3:15" ht="14.25">
      <c r="C27" s="12">
        <f t="shared" si="0"/>
        <v>-11</v>
      </c>
      <c r="D27" s="3" t="s">
        <v>37</v>
      </c>
      <c r="E27" s="28">
        <f>+SUM(E25:E26)</f>
        <v>270128.42607131804</v>
      </c>
      <c r="F27" s="23">
        <f>+G27/$E27</f>
        <v>9.637370080617888E-2</v>
      </c>
      <c r="G27" s="35">
        <f>+SUM(G25:G26)</f>
        <v>26033.276113441214</v>
      </c>
      <c r="H27" s="23">
        <f>I27/E27</f>
        <v>0.10537252343103472</v>
      </c>
      <c r="I27" s="35">
        <f>+SUM(I25:I26)</f>
        <v>28464.113905588489</v>
      </c>
    </row>
    <row r="28" spans="3:15">
      <c r="C28" s="12">
        <f t="shared" si="0"/>
        <v>-12</v>
      </c>
      <c r="D28" s="3" t="s">
        <v>39</v>
      </c>
      <c r="E28" s="8">
        <f>+SUM(E27,E23)</f>
        <v>368814.89883385156</v>
      </c>
      <c r="F28" s="23"/>
      <c r="G28" s="14">
        <f>+SUM(G27,G23)</f>
        <v>35196.804196640507</v>
      </c>
      <c r="I28" s="14">
        <f>+SUM(I27,I23)</f>
        <v>40163.646955056567</v>
      </c>
      <c r="L28" s="53" t="s">
        <v>69</v>
      </c>
      <c r="M28" s="16"/>
      <c r="N28" s="16"/>
      <c r="O28" s="54">
        <f>+F20/$F$22</f>
        <v>3.999889312313214</v>
      </c>
    </row>
    <row r="29" spans="3:15">
      <c r="C29" s="12">
        <f t="shared" si="0"/>
        <v>-13</v>
      </c>
      <c r="D29" s="3" t="s">
        <v>41</v>
      </c>
      <c r="G29" s="38">
        <v>1116.6389032337711</v>
      </c>
      <c r="L29" s="55" t="s">
        <v>70</v>
      </c>
      <c r="O29" s="56">
        <f>+F21/$F$22</f>
        <v>1.9999683749466326</v>
      </c>
    </row>
    <row r="30" spans="3:15">
      <c r="C30" s="12">
        <f t="shared" si="0"/>
        <v>-14</v>
      </c>
      <c r="D30" s="3" t="s">
        <v>43</v>
      </c>
      <c r="G30" s="14">
        <f>+SUM(G17:G18,G23,G27,G29)</f>
        <v>41512.212099874276</v>
      </c>
      <c r="I30" s="14">
        <f>+SUM(I28,I17:I18)</f>
        <v>48822.261955056565</v>
      </c>
      <c r="L30" s="55" t="s">
        <v>71</v>
      </c>
      <c r="O30" s="56">
        <f>+F25/$F$26</f>
        <v>1.5000057186645774</v>
      </c>
    </row>
    <row r="31" spans="3:15">
      <c r="L31" s="55" t="s">
        <v>72</v>
      </c>
      <c r="O31" s="56">
        <f>+H20/H22</f>
        <v>4</v>
      </c>
    </row>
    <row r="32" spans="3:15">
      <c r="C32" s="43" t="s">
        <v>45</v>
      </c>
      <c r="D32" s="44" t="s">
        <v>46</v>
      </c>
      <c r="E32" s="44" t="s">
        <v>46</v>
      </c>
      <c r="F32" s="44" t="s">
        <v>46</v>
      </c>
      <c r="G32" s="44" t="s">
        <v>46</v>
      </c>
      <c r="H32" s="44" t="s">
        <v>46</v>
      </c>
      <c r="I32" s="45" t="s">
        <v>47</v>
      </c>
      <c r="L32" s="55" t="s">
        <v>73</v>
      </c>
      <c r="M32" s="9"/>
      <c r="N32" s="9"/>
      <c r="O32" s="56">
        <f>+H21/H22</f>
        <v>2</v>
      </c>
    </row>
    <row r="33" spans="8:15">
      <c r="L33" s="57" t="s">
        <v>74</v>
      </c>
      <c r="M33" s="58"/>
      <c r="N33" s="58"/>
      <c r="O33" s="59">
        <f>+H25/H26</f>
        <v>1.5000052302896534</v>
      </c>
    </row>
    <row r="35" spans="8:15">
      <c r="H35" s="13"/>
      <c r="L35" s="41" t="s">
        <v>44</v>
      </c>
      <c r="M35" s="6"/>
      <c r="N35" s="6"/>
      <c r="O35" s="42">
        <v>0</v>
      </c>
    </row>
    <row r="36" spans="8:15">
      <c r="H36" s="13"/>
    </row>
    <row r="37" spans="8:15">
      <c r="H37" s="13"/>
    </row>
    <row r="46" spans="8:15">
      <c r="N46" s="3" t="s">
        <v>58</v>
      </c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887BC-1B2E-44CE-A755-E5BF35A995B6}">
  <sheetPr>
    <tabColor theme="3"/>
    <pageSetUpPr fitToPage="1"/>
  </sheetPr>
  <dimension ref="C3:O39"/>
  <sheetViews>
    <sheetView showGridLines="0" view="pageBreakPreview" zoomScaleNormal="11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78</v>
      </c>
      <c r="D9" s="2"/>
      <c r="E9" s="2"/>
      <c r="F9" s="2"/>
      <c r="G9" s="2"/>
      <c r="H9" s="2"/>
      <c r="I9" s="2"/>
    </row>
    <row r="10" spans="3:9">
      <c r="C10" s="2" t="s">
        <v>79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f>+SUM('I07'!E17,'I08'!E17)</f>
        <v>361405.89999999997</v>
      </c>
      <c r="F17" s="13">
        <v>25</v>
      </c>
      <c r="G17" s="14">
        <f>+F17*$E17</f>
        <v>9035147.5</v>
      </c>
      <c r="H17" s="13">
        <f>+ROUNDDOWN(O29,-1)</f>
        <v>30</v>
      </c>
      <c r="I17" s="14">
        <f>+H17*$E17</f>
        <v>10842176.999999998</v>
      </c>
      <c r="L17" s="15" t="str">
        <f>+_xlfn.CONCAT(C9,", ",C10)</f>
        <v>Small General Service, Schedule 7 and Schedule 8</v>
      </c>
      <c r="M17" s="16"/>
      <c r="N17" s="16"/>
      <c r="O17" s="17"/>
    </row>
    <row r="18" spans="3:15">
      <c r="C18" s="12">
        <f>+C17-1</f>
        <v>-2</v>
      </c>
      <c r="D18" s="3" t="s">
        <v>22</v>
      </c>
      <c r="E18" s="8">
        <f>+SUM('I07'!E18,'I08'!E18)</f>
        <v>293.66666666666669</v>
      </c>
      <c r="F18" s="18">
        <v>3</v>
      </c>
      <c r="G18" s="8">
        <f>+F18*$E18</f>
        <v>881</v>
      </c>
      <c r="H18" s="18">
        <f>F18</f>
        <v>3</v>
      </c>
      <c r="I18" s="8">
        <f>+H18*$E18</f>
        <v>881</v>
      </c>
      <c r="L18" s="19" t="s">
        <v>23</v>
      </c>
      <c r="O18" s="20">
        <f>+I29</f>
        <v>23641507.41608322</v>
      </c>
    </row>
    <row r="19" spans="3:15">
      <c r="C19" s="12">
        <f t="shared" ref="C19:C29" si="0">+C18-1</f>
        <v>-3</v>
      </c>
      <c r="D19" s="21" t="s">
        <v>24</v>
      </c>
      <c r="L19" s="19" t="s">
        <v>25</v>
      </c>
      <c r="O19" s="20">
        <f>+G29*(1+O23)</f>
        <v>23641535.905409802</v>
      </c>
    </row>
    <row r="20" spans="3:15">
      <c r="C20" s="12">
        <f t="shared" si="0"/>
        <v>-4</v>
      </c>
      <c r="D20" s="22" t="s">
        <v>80</v>
      </c>
      <c r="E20" s="8">
        <f>+SUM('I07'!E20,'I08'!E20)</f>
        <v>21553455.059697006</v>
      </c>
      <c r="F20" s="23">
        <v>7.4534000000000003E-2</v>
      </c>
      <c r="G20" s="14">
        <f>+F20*$E20</f>
        <v>1606465.2194194568</v>
      </c>
      <c r="H20" s="23">
        <v>8.8802000000000006E-2</v>
      </c>
      <c r="I20" s="14">
        <f>+H20*$E20</f>
        <v>1913989.9162112137</v>
      </c>
      <c r="L20" s="24" t="s">
        <v>27</v>
      </c>
      <c r="M20" s="25"/>
      <c r="N20" s="25"/>
      <c r="O20" s="26">
        <f>+O18-O19</f>
        <v>-28.48932658135891</v>
      </c>
    </row>
    <row r="21" spans="3:15" ht="14.25">
      <c r="C21" s="12">
        <f t="shared" si="0"/>
        <v>-5</v>
      </c>
      <c r="D21" s="22" t="s">
        <v>29</v>
      </c>
      <c r="E21" s="28">
        <f>+SUM('I07'!E21,'I08'!E21)</f>
        <v>25566817.908171847</v>
      </c>
      <c r="F21" s="29">
        <v>8.5176000000000002E-2</v>
      </c>
      <c r="G21" s="28">
        <f>+F21*$E21</f>
        <v>2177679.2821464455</v>
      </c>
      <c r="H21" s="29">
        <v>0.10148500000000001</v>
      </c>
      <c r="I21" s="28">
        <f>+H21*$E21</f>
        <v>2594648.51541082</v>
      </c>
    </row>
    <row r="22" spans="3:15">
      <c r="C22" s="12">
        <f t="shared" si="0"/>
        <v>-6</v>
      </c>
      <c r="D22" s="3" t="s">
        <v>31</v>
      </c>
      <c r="E22" s="8">
        <f>+SUM(E20:E21)</f>
        <v>47120272.96786885</v>
      </c>
      <c r="F22" s="23">
        <f>+G22/$E22</f>
        <v>8.0308204159731791E-2</v>
      </c>
      <c r="G22" s="14">
        <f>+SUM(G20:G21)</f>
        <v>3784144.5015659025</v>
      </c>
      <c r="H22" s="23">
        <f>(O19-I17-I18)/(SUM(E20:E21)+(SUM(E24:E25))/O26)</f>
        <v>9.5683795219815682E-2</v>
      </c>
      <c r="I22" s="14">
        <f>+SUM(I20:I21)</f>
        <v>4508638.4316220339</v>
      </c>
      <c r="L22" s="30" t="s">
        <v>30</v>
      </c>
      <c r="M22" s="16"/>
      <c r="N22" s="16"/>
      <c r="O22" s="31">
        <f>+O18/$G$29-1</f>
        <v>0.17018893995944451</v>
      </c>
    </row>
    <row r="23" spans="3:15">
      <c r="C23" s="12">
        <f t="shared" si="0"/>
        <v>-7</v>
      </c>
      <c r="D23" s="33" t="s">
        <v>32</v>
      </c>
      <c r="H23" s="23"/>
      <c r="L23" s="19" t="s">
        <v>25</v>
      </c>
      <c r="O23" s="32">
        <v>0.17019035010196576</v>
      </c>
    </row>
    <row r="24" spans="3:15">
      <c r="C24" s="12">
        <f t="shared" si="0"/>
        <v>-8</v>
      </c>
      <c r="D24" s="22" t="s">
        <v>80</v>
      </c>
      <c r="E24" s="8">
        <f>+SUM('I07'!E24,'I08'!E24)</f>
        <v>44503584.344477996</v>
      </c>
      <c r="F24" s="23">
        <v>7.4534000000000003E-2</v>
      </c>
      <c r="G24" s="14">
        <f>+F24*$E24</f>
        <v>3317030.155531323</v>
      </c>
      <c r="H24" s="23">
        <f>+H20</f>
        <v>8.8802000000000006E-2</v>
      </c>
      <c r="I24" s="14">
        <f>+H24*$E24</f>
        <v>3952007.2969583352</v>
      </c>
      <c r="L24" s="19" t="s">
        <v>33</v>
      </c>
      <c r="O24" s="34">
        <v>1.1504834826606569</v>
      </c>
    </row>
    <row r="25" spans="3:15" ht="14.25">
      <c r="C25" s="12">
        <f t="shared" si="0"/>
        <v>-9</v>
      </c>
      <c r="D25" s="22" t="s">
        <v>29</v>
      </c>
      <c r="E25" s="28">
        <f>+SUM('I07'!E25,'I08'!E25)</f>
        <v>48834292.360463068</v>
      </c>
      <c r="F25" s="29">
        <v>7.4551999999999993E-2</v>
      </c>
      <c r="G25" s="28">
        <f>+F25*$E25</f>
        <v>3640694.1640572422</v>
      </c>
      <c r="H25" s="29">
        <v>8.8827000000000003E-2</v>
      </c>
      <c r="I25" s="28">
        <f>+H25*$E25</f>
        <v>4337803.6875028526</v>
      </c>
      <c r="L25" s="19" t="s">
        <v>34</v>
      </c>
      <c r="O25" s="34">
        <f>+F22/F26</f>
        <v>1.0773346160256509</v>
      </c>
    </row>
    <row r="26" spans="3:15" ht="14.25">
      <c r="C26" s="12">
        <f t="shared" si="0"/>
        <v>-10</v>
      </c>
      <c r="D26" s="3" t="s">
        <v>37</v>
      </c>
      <c r="E26" s="28">
        <f>+SUM(E24:E25)</f>
        <v>93337876.704941064</v>
      </c>
      <c r="F26" s="23">
        <f>+G26/$E26</f>
        <v>7.4543417583659705E-2</v>
      </c>
      <c r="G26" s="35">
        <f>+SUM(G24:G25)</f>
        <v>6957724.3195885653</v>
      </c>
      <c r="H26" s="23">
        <f>+H22/O26</f>
        <v>8.8815298233708179E-2</v>
      </c>
      <c r="I26" s="35">
        <f>+SUM(I24:I25)</f>
        <v>8289810.9844611883</v>
      </c>
      <c r="L26" s="19" t="s">
        <v>35</v>
      </c>
      <c r="O26" s="34">
        <f>O25</f>
        <v>1.0773346160256509</v>
      </c>
    </row>
    <row r="27" spans="3:15">
      <c r="C27" s="12">
        <f t="shared" si="0"/>
        <v>-11</v>
      </c>
      <c r="D27" s="3" t="s">
        <v>39</v>
      </c>
      <c r="E27" s="8">
        <f>+SUM(E26,E22)</f>
        <v>140458149.6728099</v>
      </c>
      <c r="F27" s="23"/>
      <c r="G27" s="14">
        <f>+SUM(G26,G22)</f>
        <v>10741868.821154468</v>
      </c>
      <c r="I27" s="14">
        <f>+SUM(I26,I22)</f>
        <v>12798449.416083222</v>
      </c>
      <c r="L27" s="19" t="s">
        <v>81</v>
      </c>
      <c r="O27" s="20">
        <v>12289901.970218273</v>
      </c>
    </row>
    <row r="28" spans="3:15">
      <c r="C28" s="12">
        <f t="shared" si="0"/>
        <v>-12</v>
      </c>
      <c r="D28" s="3" t="s">
        <v>41</v>
      </c>
      <c r="G28" s="38">
        <f>+SUM('I07'!G28,'I08'!G28)</f>
        <v>425256.72412523476</v>
      </c>
      <c r="L28" s="19" t="s">
        <v>82</v>
      </c>
      <c r="O28" s="36">
        <v>360411.9</v>
      </c>
    </row>
    <row r="29" spans="3:15">
      <c r="C29" s="12">
        <f t="shared" si="0"/>
        <v>-13</v>
      </c>
      <c r="D29" s="3" t="s">
        <v>43</v>
      </c>
      <c r="G29" s="14">
        <f>+SUM(G17:G18,G22,G26,G28)</f>
        <v>20203154.045279704</v>
      </c>
      <c r="I29" s="14">
        <f>+SUM(I27,I17:I18)</f>
        <v>23641507.41608322</v>
      </c>
      <c r="L29" s="39" t="s">
        <v>83</v>
      </c>
      <c r="M29" s="25"/>
      <c r="N29" s="25"/>
      <c r="O29" s="60">
        <f>+O27/O28</f>
        <v>34.099600957177806</v>
      </c>
    </row>
    <row r="31" spans="3:15">
      <c r="C31" s="43" t="s">
        <v>45</v>
      </c>
      <c r="D31" s="44" t="s">
        <v>46</v>
      </c>
      <c r="E31" s="44" t="s">
        <v>46</v>
      </c>
      <c r="F31" s="44" t="s">
        <v>46</v>
      </c>
      <c r="G31" s="44" t="s">
        <v>46</v>
      </c>
      <c r="H31" s="44" t="s">
        <v>46</v>
      </c>
      <c r="I31" s="45" t="s">
        <v>47</v>
      </c>
      <c r="L31" s="41" t="s">
        <v>44</v>
      </c>
      <c r="M31" s="6"/>
      <c r="N31" s="6"/>
      <c r="O31" s="42">
        <v>0</v>
      </c>
    </row>
    <row r="33" spans="12:15">
      <c r="L33" s="41" t="s">
        <v>55</v>
      </c>
      <c r="M33" s="6"/>
      <c r="N33" s="6"/>
      <c r="O33" s="49">
        <v>-1.9999999999999999E-6</v>
      </c>
    </row>
    <row r="35" spans="12:15">
      <c r="L35" s="15" t="s">
        <v>48</v>
      </c>
      <c r="M35" s="16"/>
      <c r="N35" s="46" t="s">
        <v>10</v>
      </c>
      <c r="O35" s="47" t="s">
        <v>11</v>
      </c>
    </row>
    <row r="36" spans="12:15">
      <c r="L36" s="19" t="s">
        <v>49</v>
      </c>
      <c r="N36" s="18">
        <f>+F20/$F$22</f>
        <v>0.92809944861614657</v>
      </c>
      <c r="O36" s="34">
        <f>+N36</f>
        <v>0.92809944861614657</v>
      </c>
    </row>
    <row r="37" spans="12:15">
      <c r="L37" s="19" t="s">
        <v>50</v>
      </c>
      <c r="N37" s="18">
        <f>+F21/$F$22</f>
        <v>1.0606139296875103</v>
      </c>
      <c r="O37" s="34">
        <f>+H21/H22</f>
        <v>1.0606289159711646</v>
      </c>
    </row>
    <row r="38" spans="12:15">
      <c r="L38" s="19" t="s">
        <v>52</v>
      </c>
      <c r="N38" s="18">
        <f>+F24/$F$26</f>
        <v>0.99987366310849468</v>
      </c>
      <c r="O38" s="34">
        <f>+H24/$H$26</f>
        <v>0.99985027091083811</v>
      </c>
    </row>
    <row r="39" spans="12:15">
      <c r="L39" s="39" t="s">
        <v>53</v>
      </c>
      <c r="M39" s="25"/>
      <c r="N39" s="48">
        <f>+F25/$F$26</f>
        <v>1.0001151331213203</v>
      </c>
      <c r="O39" s="40">
        <f>+H25/$H$26</f>
        <v>1.0001317539492018</v>
      </c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A8F9A-814A-4BF4-BC45-A888603B6031}">
  <sheetPr>
    <tabColor theme="3"/>
    <pageSetUpPr fitToPage="1"/>
  </sheetPr>
  <dimension ref="C3:O51"/>
  <sheetViews>
    <sheetView showGridLines="0" view="pageBreakPreview" zoomScaleNormal="11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78</v>
      </c>
      <c r="D9" s="2"/>
      <c r="E9" s="2"/>
      <c r="F9" s="2"/>
      <c r="G9" s="2"/>
      <c r="H9" s="2"/>
      <c r="I9" s="2"/>
    </row>
    <row r="10" spans="3:9">
      <c r="C10" s="2" t="s">
        <v>84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v>360411.89999999997</v>
      </c>
      <c r="F17" s="13">
        <v>25</v>
      </c>
      <c r="G17" s="14">
        <f>+F17*$E17</f>
        <v>9010297.5</v>
      </c>
      <c r="H17" s="13">
        <f>'I07+I08'!H17</f>
        <v>30</v>
      </c>
      <c r="I17" s="14">
        <f>+H17*$E17</f>
        <v>10812356.999999998</v>
      </c>
      <c r="L17" s="15" t="str">
        <f>+_xlfn.CONCAT(C9,", ",C10)</f>
        <v>Small General Service, Schedule 7</v>
      </c>
      <c r="M17" s="16"/>
      <c r="N17" s="16"/>
      <c r="O17" s="17"/>
    </row>
    <row r="18" spans="3:15">
      <c r="C18" s="12">
        <f>+C17-1</f>
        <v>-2</v>
      </c>
      <c r="D18" s="3" t="s">
        <v>22</v>
      </c>
      <c r="E18" s="8">
        <v>293.66666666666669</v>
      </c>
      <c r="F18" s="18">
        <v>3</v>
      </c>
      <c r="G18" s="8">
        <f>+F18*$E18</f>
        <v>881</v>
      </c>
      <c r="H18" s="18">
        <f>'I07+I08'!H18</f>
        <v>3</v>
      </c>
      <c r="I18" s="8">
        <f>+H18*$E18</f>
        <v>881</v>
      </c>
      <c r="L18" s="19" t="s">
        <v>23</v>
      </c>
      <c r="O18" s="20">
        <f>+I29</f>
        <v>23563300.561052054</v>
      </c>
    </row>
    <row r="19" spans="3:15">
      <c r="C19" s="12">
        <f t="shared" ref="C19:C29" si="0">+C18-1</f>
        <v>-3</v>
      </c>
      <c r="D19" s="21" t="s">
        <v>24</v>
      </c>
      <c r="L19" s="19" t="s">
        <v>25</v>
      </c>
      <c r="O19" s="20">
        <f>+G29*(1+O23)</f>
        <v>23563055.533748098</v>
      </c>
    </row>
    <row r="20" spans="3:15">
      <c r="C20" s="12">
        <f t="shared" si="0"/>
        <v>-4</v>
      </c>
      <c r="D20" s="22" t="s">
        <v>80</v>
      </c>
      <c r="E20" s="8">
        <v>21484435.887245972</v>
      </c>
      <c r="F20" s="23">
        <v>7.4534000000000003E-2</v>
      </c>
      <c r="G20" s="14">
        <f>+F20*$E20</f>
        <v>1601320.9444199912</v>
      </c>
      <c r="H20" s="23">
        <f>'I07+I08'!H20</f>
        <v>8.8802000000000006E-2</v>
      </c>
      <c r="I20" s="14">
        <f>+H20*$E20</f>
        <v>1907860.8756592169</v>
      </c>
      <c r="L20" s="24" t="s">
        <v>27</v>
      </c>
      <c r="M20" s="25"/>
      <c r="N20" s="25"/>
      <c r="O20" s="26">
        <f>+O18-O19</f>
        <v>245.02730395644903</v>
      </c>
    </row>
    <row r="21" spans="3:15" ht="14.25">
      <c r="C21" s="12">
        <f t="shared" si="0"/>
        <v>-5</v>
      </c>
      <c r="D21" s="22" t="s">
        <v>29</v>
      </c>
      <c r="E21" s="28">
        <v>25463564.328093253</v>
      </c>
      <c r="F21" s="29">
        <v>8.5176000000000002E-2</v>
      </c>
      <c r="G21" s="28">
        <f>+F21*$E21</f>
        <v>2168884.5552096711</v>
      </c>
      <c r="H21" s="29">
        <f>'I07+I08'!H21</f>
        <v>0.10148500000000001</v>
      </c>
      <c r="I21" s="28">
        <f>+H21*$E21</f>
        <v>2584169.8258365439</v>
      </c>
    </row>
    <row r="22" spans="3:15">
      <c r="C22" s="12">
        <f t="shared" si="0"/>
        <v>-6</v>
      </c>
      <c r="D22" s="3" t="s">
        <v>31</v>
      </c>
      <c r="E22" s="8">
        <f>+SUM(E20:E21)</f>
        <v>46948000.215339229</v>
      </c>
      <c r="F22" s="23">
        <f>+G22/$E22</f>
        <v>8.0305987099272239E-2</v>
      </c>
      <c r="G22" s="14">
        <f>+SUM(G20:G21)</f>
        <v>3770205.4996296624</v>
      </c>
      <c r="H22" s="23">
        <f>+I22/$E22</f>
        <v>9.5680980678450461E-2</v>
      </c>
      <c r="I22" s="14">
        <f>+SUM(I20:I21)</f>
        <v>4492030.7014957611</v>
      </c>
      <c r="L22" s="30" t="s">
        <v>30</v>
      </c>
      <c r="M22" s="16"/>
      <c r="N22" s="16"/>
      <c r="O22" s="31">
        <f>+O18/G29-1</f>
        <v>0.17020251866754865</v>
      </c>
    </row>
    <row r="23" spans="3:15">
      <c r="C23" s="12">
        <f t="shared" si="0"/>
        <v>-7</v>
      </c>
      <c r="D23" s="33" t="s">
        <v>32</v>
      </c>
      <c r="L23" s="19" t="s">
        <v>25</v>
      </c>
      <c r="O23" s="32">
        <f>'I07+I08'!$O$23</f>
        <v>0.17019035010196576</v>
      </c>
    </row>
    <row r="24" spans="3:15">
      <c r="C24" s="12">
        <f t="shared" si="0"/>
        <v>-8</v>
      </c>
      <c r="D24" s="22" t="s">
        <v>80</v>
      </c>
      <c r="E24" s="8">
        <v>44366384.153450504</v>
      </c>
      <c r="F24" s="23">
        <v>7.4534000000000003E-2</v>
      </c>
      <c r="G24" s="14">
        <f>+F24*$E24</f>
        <v>3306804.07649328</v>
      </c>
      <c r="H24" s="23">
        <f>'I07+I08'!H24</f>
        <v>8.8802000000000006E-2</v>
      </c>
      <c r="I24" s="14">
        <f>+H24*$E24</f>
        <v>3939823.6455947119</v>
      </c>
      <c r="L24" s="19" t="s">
        <v>33</v>
      </c>
      <c r="O24" s="34">
        <v>1.1504834826606569</v>
      </c>
    </row>
    <row r="25" spans="3:15" ht="14.25">
      <c r="C25" s="12">
        <f t="shared" si="0"/>
        <v>-9</v>
      </c>
      <c r="D25" s="22" t="s">
        <v>29</v>
      </c>
      <c r="E25" s="28">
        <v>48613689.688513428</v>
      </c>
      <c r="F25" s="29">
        <v>7.4551999999999993E-2</v>
      </c>
      <c r="G25" s="28">
        <f>+F25*$E25</f>
        <v>3624247.7936580526</v>
      </c>
      <c r="H25" s="29">
        <f>'I07+I08'!H25</f>
        <v>8.8827000000000003E-2</v>
      </c>
      <c r="I25" s="28">
        <f>+H25*$E25</f>
        <v>4318208.2139615826</v>
      </c>
      <c r="L25" s="19" t="s">
        <v>34</v>
      </c>
      <c r="O25" s="34">
        <f>+F22/F26</f>
        <v>1.0773049676050259</v>
      </c>
    </row>
    <row r="26" spans="3:15" ht="14.25">
      <c r="C26" s="12">
        <f t="shared" si="0"/>
        <v>-10</v>
      </c>
      <c r="D26" s="3" t="s">
        <v>37</v>
      </c>
      <c r="E26" s="28">
        <f>+SUM(E24:E25)</f>
        <v>92980073.841963932</v>
      </c>
      <c r="F26" s="23">
        <f>+G26/$E26</f>
        <v>7.4543411117653877E-2</v>
      </c>
      <c r="G26" s="35">
        <f>+SUM(G24:G25)</f>
        <v>6931051.8701513326</v>
      </c>
      <c r="H26" s="23">
        <f>+I26/$E26</f>
        <v>8.8815070996741519E-2</v>
      </c>
      <c r="I26" s="35">
        <f>+SUM(I24:I25)</f>
        <v>8258031.859556295</v>
      </c>
      <c r="L26" s="39" t="s">
        <v>35</v>
      </c>
      <c r="M26" s="25"/>
      <c r="N26" s="25"/>
      <c r="O26" s="40">
        <f>+H22/H26</f>
        <v>1.0773056825227425</v>
      </c>
    </row>
    <row r="27" spans="3:15">
      <c r="C27" s="12">
        <f t="shared" si="0"/>
        <v>-11</v>
      </c>
      <c r="D27" s="3" t="s">
        <v>39</v>
      </c>
      <c r="E27" s="8">
        <f>+SUM(E26,E22)</f>
        <v>139928074.05730316</v>
      </c>
      <c r="F27" s="23"/>
      <c r="G27" s="14">
        <f>+SUM(G26,G22)</f>
        <v>10701257.369780995</v>
      </c>
      <c r="I27" s="14">
        <f>+SUM(I26,I22)</f>
        <v>12750062.561052056</v>
      </c>
    </row>
    <row r="28" spans="3:15">
      <c r="C28" s="12">
        <f t="shared" si="0"/>
        <v>-12</v>
      </c>
      <c r="D28" s="3" t="s">
        <v>41</v>
      </c>
      <c r="G28" s="38">
        <v>423651.84594398167</v>
      </c>
    </row>
    <row r="29" spans="3:15">
      <c r="C29" s="12">
        <f t="shared" si="0"/>
        <v>-13</v>
      </c>
      <c r="D29" s="3" t="s">
        <v>43</v>
      </c>
      <c r="G29" s="14">
        <f>+SUM(G17:G18,G22,G26,G28)</f>
        <v>20136087.715724975</v>
      </c>
      <c r="I29" s="14">
        <f>+SUM(I27,I17:I18)</f>
        <v>23563300.561052054</v>
      </c>
    </row>
    <row r="30" spans="3:15">
      <c r="G30" s="14"/>
    </row>
    <row r="31" spans="3:15">
      <c r="C31" s="43" t="s">
        <v>45</v>
      </c>
      <c r="D31" s="44" t="s">
        <v>46</v>
      </c>
      <c r="E31" s="44" t="s">
        <v>46</v>
      </c>
      <c r="F31" s="44" t="s">
        <v>46</v>
      </c>
      <c r="G31" s="44" t="s">
        <v>46</v>
      </c>
      <c r="H31" s="44" t="s">
        <v>46</v>
      </c>
      <c r="I31" s="45" t="s">
        <v>47</v>
      </c>
      <c r="L31" s="41" t="s">
        <v>44</v>
      </c>
      <c r="M31" s="6"/>
      <c r="N31" s="6"/>
      <c r="O31" s="42">
        <v>0</v>
      </c>
    </row>
    <row r="51" spans="7:7">
      <c r="G51" s="3" t="s">
        <v>85</v>
      </c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3DB4E-982B-4400-8303-7B6A487DBD06}">
  <sheetPr>
    <tabColor theme="3"/>
    <pageSetUpPr fitToPage="1"/>
  </sheetPr>
  <dimension ref="C3:O31"/>
  <sheetViews>
    <sheetView showGridLines="0" view="pageBreakPreview" zoomScaleNormal="8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86</v>
      </c>
      <c r="D9" s="2"/>
      <c r="E9" s="2"/>
      <c r="F9" s="2"/>
      <c r="G9" s="2"/>
      <c r="H9" s="2"/>
      <c r="I9" s="2"/>
    </row>
    <row r="10" spans="3:9">
      <c r="C10" s="2" t="s">
        <v>87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v>994</v>
      </c>
      <c r="F17" s="13">
        <v>25</v>
      </c>
      <c r="G17" s="14">
        <f>+F17*$E17</f>
        <v>24850</v>
      </c>
      <c r="H17" s="13">
        <f>'I07+I08'!H17</f>
        <v>30</v>
      </c>
      <c r="I17" s="14">
        <f>+H17*$E17</f>
        <v>29820</v>
      </c>
      <c r="L17" s="15" t="str">
        <f>+_xlfn.CONCAT(C9,", ",C10)</f>
        <v>Small General Service On-Site Generation, Schedule 8</v>
      </c>
      <c r="M17" s="16"/>
      <c r="N17" s="16"/>
      <c r="O17" s="17"/>
    </row>
    <row r="18" spans="3:15">
      <c r="C18" s="12">
        <f>+C17-1</f>
        <v>-2</v>
      </c>
      <c r="D18" s="3" t="s">
        <v>22</v>
      </c>
      <c r="E18" s="8">
        <v>0</v>
      </c>
      <c r="F18" s="18">
        <v>3</v>
      </c>
      <c r="G18" s="8">
        <f>+F18*$E18</f>
        <v>0</v>
      </c>
      <c r="H18" s="18">
        <f>'I07+I08'!H18</f>
        <v>3</v>
      </c>
      <c r="I18" s="8">
        <f>+H18*$E18</f>
        <v>0</v>
      </c>
      <c r="L18" s="19" t="s">
        <v>23</v>
      </c>
      <c r="O18" s="20">
        <f>+I29</f>
        <v>78206.855031167186</v>
      </c>
    </row>
    <row r="19" spans="3:15">
      <c r="C19" s="12">
        <f t="shared" ref="C19:C29" si="0">+C18-1</f>
        <v>-3</v>
      </c>
      <c r="D19" s="21" t="s">
        <v>24</v>
      </c>
      <c r="L19" s="19" t="s">
        <v>25</v>
      </c>
      <c r="O19" s="20">
        <f>+G29*(1+O23)</f>
        <v>78480.3716616983</v>
      </c>
    </row>
    <row r="20" spans="3:15">
      <c r="C20" s="12">
        <f t="shared" si="0"/>
        <v>-4</v>
      </c>
      <c r="D20" s="22" t="s">
        <v>80</v>
      </c>
      <c r="E20" s="8">
        <v>69019.172451034116</v>
      </c>
      <c r="F20" s="23">
        <v>7.4534000000000003E-2</v>
      </c>
      <c r="G20" s="14">
        <f>+F20*$E20</f>
        <v>5144.2749994653768</v>
      </c>
      <c r="H20" s="23">
        <f>'I07+I08'!H20</f>
        <v>8.8802000000000006E-2</v>
      </c>
      <c r="I20" s="14">
        <f>+H20*$E20</f>
        <v>6129.0405519967317</v>
      </c>
      <c r="L20" s="24" t="s">
        <v>27</v>
      </c>
      <c r="M20" s="25"/>
      <c r="N20" s="25"/>
      <c r="O20" s="26">
        <f>+O18-O19</f>
        <v>-273.51663053111406</v>
      </c>
    </row>
    <row r="21" spans="3:15" ht="14.25">
      <c r="C21" s="12">
        <f t="shared" si="0"/>
        <v>-5</v>
      </c>
      <c r="D21" s="22" t="s">
        <v>29</v>
      </c>
      <c r="E21" s="28">
        <v>103253.58007859324</v>
      </c>
      <c r="F21" s="29">
        <v>8.5176000000000002E-2</v>
      </c>
      <c r="G21" s="28">
        <f>+F21*$E21</f>
        <v>8794.7269367742574</v>
      </c>
      <c r="H21" s="29">
        <f>'I07+I08'!H21</f>
        <v>0.10148500000000001</v>
      </c>
      <c r="I21" s="28">
        <f>+H21*$E21</f>
        <v>10478.689574276035</v>
      </c>
    </row>
    <row r="22" spans="3:15">
      <c r="C22" s="12">
        <f t="shared" si="0"/>
        <v>-6</v>
      </c>
      <c r="D22" s="3" t="s">
        <v>31</v>
      </c>
      <c r="E22" s="8">
        <f>+SUM(E20:E21)</f>
        <v>172272.75252962735</v>
      </c>
      <c r="F22" s="23">
        <f>+G22/E22</f>
        <v>8.0912400432229775E-2</v>
      </c>
      <c r="G22" s="14">
        <f>+SUM(G20:G21)</f>
        <v>13939.001936239634</v>
      </c>
      <c r="H22" s="23">
        <f>+I22/$E22</f>
        <v>9.6403696361771318E-2</v>
      </c>
      <c r="I22" s="14">
        <f>+SUM(I20:I21)</f>
        <v>16607.730126272767</v>
      </c>
      <c r="L22" s="30" t="s">
        <v>30</v>
      </c>
      <c r="M22" s="16"/>
      <c r="N22" s="16"/>
      <c r="O22" s="31">
        <f>+O18/G29-1</f>
        <v>0.16611204982301686</v>
      </c>
    </row>
    <row r="23" spans="3:15">
      <c r="C23" s="12">
        <f t="shared" si="0"/>
        <v>-7</v>
      </c>
      <c r="D23" s="33" t="s">
        <v>32</v>
      </c>
      <c r="L23" s="19" t="s">
        <v>25</v>
      </c>
      <c r="O23" s="32">
        <f>'I07+I08'!$O$23</f>
        <v>0.17019035010196576</v>
      </c>
    </row>
    <row r="24" spans="3:15">
      <c r="C24" s="12">
        <f t="shared" si="0"/>
        <v>-8</v>
      </c>
      <c r="D24" s="22" t="s">
        <v>80</v>
      </c>
      <c r="E24" s="8">
        <v>137200.19102749595</v>
      </c>
      <c r="F24" s="23">
        <v>7.4534000000000003E-2</v>
      </c>
      <c r="G24" s="14">
        <f>+F24*$E24</f>
        <v>10226.079038043385</v>
      </c>
      <c r="H24" s="23">
        <f>'I07+I08'!H24</f>
        <v>8.8802000000000006E-2</v>
      </c>
      <c r="I24" s="14">
        <f>+H24*$E24</f>
        <v>12183.651363623696</v>
      </c>
      <c r="L24" s="19" t="s">
        <v>33</v>
      </c>
      <c r="O24" s="34">
        <v>1.1859149677091561</v>
      </c>
    </row>
    <row r="25" spans="3:15" ht="14.25">
      <c r="C25" s="12">
        <f t="shared" si="0"/>
        <v>-9</v>
      </c>
      <c r="D25" s="22" t="s">
        <v>29</v>
      </c>
      <c r="E25" s="28">
        <v>220602.67194964061</v>
      </c>
      <c r="F25" s="29">
        <v>7.4551999999999993E-2</v>
      </c>
      <c r="G25" s="28">
        <f>+F25*$E25</f>
        <v>16446.370399189607</v>
      </c>
      <c r="H25" s="29">
        <f>'I07+I08'!H25</f>
        <v>8.8827000000000003E-2</v>
      </c>
      <c r="I25" s="28">
        <f>+H25*$E25</f>
        <v>19595.473541270727</v>
      </c>
      <c r="L25" s="19" t="s">
        <v>34</v>
      </c>
      <c r="O25" s="34">
        <f>+F22/F26</f>
        <v>1.0854154431197851</v>
      </c>
    </row>
    <row r="26" spans="3:15" ht="14.25">
      <c r="C26" s="12">
        <f t="shared" si="0"/>
        <v>-10</v>
      </c>
      <c r="D26" s="3" t="s">
        <v>37</v>
      </c>
      <c r="E26" s="28">
        <f>+SUM(E24:E25)</f>
        <v>357802.86297713657</v>
      </c>
      <c r="F26" s="23">
        <f>+G26/E26</f>
        <v>7.4545097865629295E-2</v>
      </c>
      <c r="G26" s="35">
        <f>+SUM(G24:G25)</f>
        <v>26672.449437232994</v>
      </c>
      <c r="H26" s="23">
        <f>+I26/$E26</f>
        <v>8.8817413702262898E-2</v>
      </c>
      <c r="I26" s="35">
        <f>+SUM(I24:I25)</f>
        <v>31779.124904894423</v>
      </c>
      <c r="L26" s="39" t="s">
        <v>35</v>
      </c>
      <c r="M26" s="25"/>
      <c r="N26" s="25"/>
      <c r="O26" s="40">
        <f>+H22/H26</f>
        <v>1.0854143612528444</v>
      </c>
    </row>
    <row r="27" spans="3:15">
      <c r="C27" s="12">
        <f t="shared" si="0"/>
        <v>-11</v>
      </c>
      <c r="D27" s="3" t="s">
        <v>39</v>
      </c>
      <c r="E27" s="8">
        <f>+SUM(E26,E22)</f>
        <v>530075.61550676392</v>
      </c>
      <c r="F27" s="23"/>
      <c r="G27" s="14">
        <f>+SUM(G26,G22)</f>
        <v>40611.451373472628</v>
      </c>
      <c r="I27" s="14">
        <f>+SUM(I26,I22)</f>
        <v>48386.855031167186</v>
      </c>
    </row>
    <row r="28" spans="3:15">
      <c r="C28" s="12">
        <f t="shared" si="0"/>
        <v>-12</v>
      </c>
      <c r="D28" s="3" t="s">
        <v>41</v>
      </c>
      <c r="G28" s="38">
        <v>1604.8781812530929</v>
      </c>
    </row>
    <row r="29" spans="3:15">
      <c r="C29" s="12">
        <f t="shared" si="0"/>
        <v>-13</v>
      </c>
      <c r="D29" s="3" t="s">
        <v>43</v>
      </c>
      <c r="G29" s="14">
        <f>+SUM(G17:G18,G22,G26,G28)</f>
        <v>67066.329554725715</v>
      </c>
      <c r="I29" s="14">
        <f>+SUM(I27,I17:I18)</f>
        <v>78206.855031167186</v>
      </c>
    </row>
    <row r="31" spans="3:15">
      <c r="C31" s="43" t="s">
        <v>45</v>
      </c>
      <c r="D31" s="44" t="s">
        <v>46</v>
      </c>
      <c r="E31" s="44" t="s">
        <v>46</v>
      </c>
      <c r="F31" s="44" t="s">
        <v>46</v>
      </c>
      <c r="G31" s="44" t="s">
        <v>46</v>
      </c>
      <c r="H31" s="44" t="s">
        <v>46</v>
      </c>
      <c r="I31" s="45" t="s">
        <v>47</v>
      </c>
      <c r="L31" s="41" t="s">
        <v>44</v>
      </c>
      <c r="M31" s="6"/>
      <c r="N31" s="6"/>
      <c r="O31" s="42">
        <v>0</v>
      </c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994DA-B11B-40D7-BABE-3096BB22F0DD}">
  <sheetPr>
    <tabColor theme="3"/>
    <pageSetUpPr fitToPage="1"/>
  </sheetPr>
  <dimension ref="C3:O57"/>
  <sheetViews>
    <sheetView showGridLines="0" view="pageBreakPreview" zoomScaleNormal="9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88</v>
      </c>
      <c r="D9" s="2"/>
      <c r="E9" s="2"/>
      <c r="F9" s="2"/>
      <c r="G9" s="2"/>
      <c r="H9" s="2"/>
      <c r="I9" s="2"/>
    </row>
    <row r="10" spans="3:9">
      <c r="C10" s="2" t="s">
        <v>89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v>474816.09999999992</v>
      </c>
      <c r="F17" s="13">
        <v>25</v>
      </c>
      <c r="G17" s="14">
        <f>+F17*$E17</f>
        <v>11870402.499999998</v>
      </c>
      <c r="H17" s="13">
        <v>30</v>
      </c>
      <c r="I17" s="14">
        <f>+H17*$E17</f>
        <v>14244482.999999998</v>
      </c>
      <c r="L17" s="15" t="str">
        <f>+_xlfn.CONCAT(C9,", ",C10)</f>
        <v>Large General Service, Schedule 9 Secondary Service - Standard (Default)</v>
      </c>
      <c r="M17" s="16"/>
      <c r="N17" s="16"/>
      <c r="O17" s="17"/>
    </row>
    <row r="18" spans="3:15">
      <c r="C18" s="12">
        <f>+C17-1</f>
        <v>-2</v>
      </c>
      <c r="D18" s="3" t="s">
        <v>22</v>
      </c>
      <c r="E18" s="8">
        <v>247.33333333333337</v>
      </c>
      <c r="F18" s="18">
        <v>3</v>
      </c>
      <c r="G18" s="8">
        <f>+F18*$E18</f>
        <v>742.00000000000011</v>
      </c>
      <c r="H18" s="18">
        <f>F18</f>
        <v>3</v>
      </c>
      <c r="I18" s="8">
        <f>+H18*$E18</f>
        <v>742.00000000000011</v>
      </c>
      <c r="L18" s="19" t="s">
        <v>23</v>
      </c>
      <c r="O18" s="20">
        <f>+I30</f>
        <v>331878481.96260083</v>
      </c>
    </row>
    <row r="19" spans="3:15">
      <c r="C19" s="12">
        <f t="shared" ref="C19:C30" si="0">+C18-1</f>
        <v>-3</v>
      </c>
      <c r="D19" s="21" t="s">
        <v>90</v>
      </c>
      <c r="H19" s="13"/>
      <c r="L19" s="19" t="s">
        <v>25</v>
      </c>
      <c r="O19" s="20">
        <v>331880067.56527531</v>
      </c>
    </row>
    <row r="20" spans="3:15">
      <c r="C20" s="12">
        <f t="shared" si="0"/>
        <v>-4</v>
      </c>
      <c r="D20" s="22" t="s">
        <v>91</v>
      </c>
      <c r="E20" s="8">
        <v>15582929.577394061</v>
      </c>
      <c r="F20" s="13">
        <v>1.58</v>
      </c>
      <c r="G20" s="14">
        <f>+F20*$E20</f>
        <v>24621028.732282616</v>
      </c>
      <c r="H20" s="13">
        <v>2.0299999999999998</v>
      </c>
      <c r="I20" s="14">
        <f>+H20*$E20</f>
        <v>31633347.04210994</v>
      </c>
      <c r="L20" s="24" t="s">
        <v>27</v>
      </c>
      <c r="M20" s="25"/>
      <c r="N20" s="25"/>
      <c r="O20" s="26">
        <f>+O18-O19</f>
        <v>-1585.6026744842529</v>
      </c>
    </row>
    <row r="21" spans="3:15">
      <c r="C21" s="12">
        <f t="shared" si="0"/>
        <v>-5</v>
      </c>
      <c r="D21" s="21" t="s">
        <v>92</v>
      </c>
      <c r="E21" s="8"/>
      <c r="F21" s="27"/>
      <c r="G21" s="8"/>
      <c r="H21" s="13"/>
      <c r="I21" s="8"/>
    </row>
    <row r="22" spans="3:15">
      <c r="C22" s="12">
        <f t="shared" si="0"/>
        <v>-6</v>
      </c>
      <c r="D22" s="22" t="s">
        <v>93</v>
      </c>
      <c r="E22" s="8">
        <v>4171092.5788932615</v>
      </c>
      <c r="F22" s="13">
        <v>8.1199999999999992</v>
      </c>
      <c r="G22" s="14">
        <f>+F22*$E22</f>
        <v>33869271.740613282</v>
      </c>
      <c r="H22" s="13">
        <v>10.14</v>
      </c>
      <c r="I22" s="14">
        <f>+H22*$E22</f>
        <v>42294878.749977671</v>
      </c>
      <c r="L22" s="30" t="s">
        <v>30</v>
      </c>
      <c r="M22" s="16"/>
      <c r="N22" s="16"/>
      <c r="O22" s="31">
        <f>+O18/G30-1</f>
        <v>7.1862420899722501E-2</v>
      </c>
    </row>
    <row r="23" spans="3:15" ht="14.25">
      <c r="C23" s="12">
        <f t="shared" si="0"/>
        <v>-7</v>
      </c>
      <c r="D23" s="22" t="s">
        <v>94</v>
      </c>
      <c r="E23" s="28">
        <v>7373577.628786765</v>
      </c>
      <c r="F23" s="18">
        <v>6.3900000000000006</v>
      </c>
      <c r="G23" s="28">
        <f>+F23*$E23</f>
        <v>47117161.047947429</v>
      </c>
      <c r="H23" s="18">
        <v>8.16</v>
      </c>
      <c r="I23" s="28">
        <f>+H23*$E23</f>
        <v>60168393.450900003</v>
      </c>
      <c r="L23" s="19" t="s">
        <v>25</v>
      </c>
      <c r="O23" s="32">
        <v>7.186752129457015E-2</v>
      </c>
    </row>
    <row r="24" spans="3:15">
      <c r="C24" s="12">
        <f t="shared" si="0"/>
        <v>-8</v>
      </c>
      <c r="D24" s="61" t="s">
        <v>95</v>
      </c>
      <c r="E24" s="8">
        <f>+SUM(E22:E23)</f>
        <v>11544670.207680026</v>
      </c>
      <c r="F24" s="23"/>
      <c r="G24" s="14">
        <f>+SUM(G22:G23)</f>
        <v>80986432.788560718</v>
      </c>
      <c r="H24" s="27"/>
      <c r="I24" s="14">
        <f>+SUM(I22:I23)</f>
        <v>102463272.20087767</v>
      </c>
      <c r="L24" s="19" t="s">
        <v>96</v>
      </c>
      <c r="O24" s="34">
        <v>1.0052863193562531</v>
      </c>
    </row>
    <row r="25" spans="3:15" ht="14.25">
      <c r="C25" s="12">
        <f t="shared" si="0"/>
        <v>-9</v>
      </c>
      <c r="D25" s="33" t="s">
        <v>97</v>
      </c>
      <c r="E25" s="28"/>
      <c r="F25" s="29"/>
      <c r="G25" s="28"/>
      <c r="H25" s="29"/>
      <c r="I25" s="28"/>
      <c r="L25" s="19" t="s">
        <v>98</v>
      </c>
      <c r="O25" s="34">
        <f>+F26/F27</f>
        <v>1.0367405777583885</v>
      </c>
    </row>
    <row r="26" spans="3:15">
      <c r="C26" s="12">
        <f t="shared" si="0"/>
        <v>-10</v>
      </c>
      <c r="D26" s="22" t="s">
        <v>93</v>
      </c>
      <c r="E26" s="8">
        <v>1204733146.0204053</v>
      </c>
      <c r="F26" s="23">
        <v>5.4658000000000005E-2</v>
      </c>
      <c r="G26" s="14">
        <f>+F26*$E26</f>
        <v>65848304.295183316</v>
      </c>
      <c r="H26" s="23">
        <v>5.4087999999999997E-2</v>
      </c>
      <c r="I26" s="14">
        <f>+H26*$E26</f>
        <v>65161606.401951678</v>
      </c>
      <c r="L26" s="39" t="s">
        <v>35</v>
      </c>
      <c r="M26" s="25"/>
      <c r="N26" s="25"/>
      <c r="O26" s="40">
        <f>O24</f>
        <v>1.0052863193562531</v>
      </c>
    </row>
    <row r="27" spans="3:15" ht="14.25">
      <c r="C27" s="12">
        <f t="shared" si="0"/>
        <v>-11</v>
      </c>
      <c r="D27" s="22" t="s">
        <v>94</v>
      </c>
      <c r="E27" s="28">
        <v>2200115815.1375647</v>
      </c>
      <c r="F27" s="27">
        <v>5.2721000000000004E-2</v>
      </c>
      <c r="G27" s="28">
        <f>+F27*$E27</f>
        <v>115992305.88986756</v>
      </c>
      <c r="H27" s="27">
        <v>5.3803999999999998E-2</v>
      </c>
      <c r="I27" s="28">
        <f>+H27*$E27</f>
        <v>118375031.31766152</v>
      </c>
    </row>
    <row r="28" spans="3:15">
      <c r="C28" s="12">
        <f t="shared" si="0"/>
        <v>-12</v>
      </c>
      <c r="D28" s="3" t="s">
        <v>39</v>
      </c>
      <c r="E28" s="8">
        <f>+SUM(E26:E27)</f>
        <v>3404848961.15797</v>
      </c>
      <c r="F28" s="23"/>
      <c r="G28" s="14">
        <f>+SUM(G26:G27)</f>
        <v>181840610.18505087</v>
      </c>
      <c r="I28" s="14">
        <f>+SUM(I26:I27)</f>
        <v>183536637.71961319</v>
      </c>
    </row>
    <row r="29" spans="3:15">
      <c r="C29" s="12">
        <f t="shared" si="0"/>
        <v>-13</v>
      </c>
      <c r="D29" s="3" t="s">
        <v>41</v>
      </c>
      <c r="E29" s="8"/>
      <c r="G29" s="38">
        <v>10308657.196012745</v>
      </c>
    </row>
    <row r="30" spans="3:15">
      <c r="C30" s="12">
        <f t="shared" si="0"/>
        <v>-14</v>
      </c>
      <c r="D30" s="3" t="s">
        <v>43</v>
      </c>
      <c r="E30" s="18"/>
      <c r="G30" s="14">
        <f>+SUM(G29,G28,G24,G20,G17:G18)</f>
        <v>309627873.40190697</v>
      </c>
      <c r="I30" s="14">
        <f>+SUM(I29,I28,I24,I20,I17:I18)</f>
        <v>331878481.96260083</v>
      </c>
      <c r="L30" s="41" t="s">
        <v>44</v>
      </c>
      <c r="M30" s="6"/>
      <c r="N30" s="6"/>
      <c r="O30" s="42">
        <v>0</v>
      </c>
    </row>
    <row r="31" spans="3:15">
      <c r="G31" s="14">
        <f>G30-G29</f>
        <v>299319216.20589423</v>
      </c>
    </row>
    <row r="32" spans="3:15">
      <c r="C32" s="43" t="s">
        <v>45</v>
      </c>
      <c r="D32" s="44" t="s">
        <v>46</v>
      </c>
      <c r="E32" s="44" t="s">
        <v>46</v>
      </c>
      <c r="F32" s="44" t="s">
        <v>46</v>
      </c>
      <c r="G32" s="44" t="s">
        <v>46</v>
      </c>
      <c r="H32" s="44" t="s">
        <v>46</v>
      </c>
      <c r="I32" s="45" t="s">
        <v>47</v>
      </c>
      <c r="L32" s="41" t="s">
        <v>55</v>
      </c>
      <c r="M32" s="6"/>
      <c r="N32" s="6"/>
      <c r="O32" s="49">
        <v>-9.9999999999999995E-7</v>
      </c>
    </row>
    <row r="34" spans="3:15">
      <c r="C34" s="1" t="s">
        <v>88</v>
      </c>
      <c r="D34" s="2"/>
      <c r="E34" s="2"/>
      <c r="F34" s="2"/>
      <c r="G34" s="2"/>
      <c r="H34" s="2"/>
      <c r="I34" s="2"/>
    </row>
    <row r="35" spans="3:15">
      <c r="C35" s="2" t="s">
        <v>89</v>
      </c>
      <c r="D35" s="2"/>
      <c r="E35" s="2"/>
      <c r="F35" s="2"/>
      <c r="G35" s="2"/>
      <c r="H35" s="2"/>
      <c r="I35" s="2"/>
    </row>
    <row r="36" spans="3:15" ht="5.0999999999999996" customHeight="1"/>
    <row r="37" spans="3:15">
      <c r="C37" s="6" t="s">
        <v>2</v>
      </c>
      <c r="D37" s="7" t="s">
        <v>3</v>
      </c>
      <c r="E37" s="7" t="s">
        <v>4</v>
      </c>
      <c r="F37" s="7" t="s">
        <v>5</v>
      </c>
      <c r="G37" s="7" t="s">
        <v>6</v>
      </c>
      <c r="H37" s="7" t="s">
        <v>7</v>
      </c>
      <c r="I37" s="7" t="s">
        <v>8</v>
      </c>
    </row>
    <row r="38" spans="3:15" ht="5.0999999999999996" customHeight="1"/>
    <row r="39" spans="3:15">
      <c r="C39" s="9"/>
      <c r="D39" s="9"/>
      <c r="E39" s="10" t="s">
        <v>9</v>
      </c>
      <c r="F39" s="10" t="s">
        <v>10</v>
      </c>
      <c r="G39" s="10" t="s">
        <v>9</v>
      </c>
      <c r="H39" s="10" t="s">
        <v>11</v>
      </c>
      <c r="I39" s="10" t="s">
        <v>11</v>
      </c>
    </row>
    <row r="40" spans="3:15">
      <c r="C40" s="10" t="s">
        <v>12</v>
      </c>
      <c r="D40" s="9"/>
      <c r="E40" s="10" t="s">
        <v>13</v>
      </c>
      <c r="F40" s="10" t="s">
        <v>14</v>
      </c>
      <c r="G40" s="10" t="s">
        <v>14</v>
      </c>
      <c r="H40" s="10" t="s">
        <v>15</v>
      </c>
      <c r="I40" s="10" t="s">
        <v>15</v>
      </c>
    </row>
    <row r="41" spans="3:15" ht="14.25">
      <c r="C41" s="11" t="s">
        <v>16</v>
      </c>
      <c r="D41" s="11" t="s">
        <v>17</v>
      </c>
      <c r="E41" s="11" t="s">
        <v>18</v>
      </c>
      <c r="F41" s="11" t="s">
        <v>19</v>
      </c>
      <c r="G41" s="11" t="s">
        <v>20</v>
      </c>
      <c r="H41" s="11" t="s">
        <v>19</v>
      </c>
      <c r="I41" s="11" t="s">
        <v>20</v>
      </c>
    </row>
    <row r="42" spans="3:15">
      <c r="C42" s="12">
        <v>-1</v>
      </c>
      <c r="D42" s="3" t="s">
        <v>21</v>
      </c>
      <c r="E42" s="8">
        <v>474804.09999999992</v>
      </c>
      <c r="F42" s="13">
        <f>F17</f>
        <v>25</v>
      </c>
      <c r="G42" s="14">
        <f>+F42*$E42</f>
        <v>11870102.499999998</v>
      </c>
      <c r="H42" s="13">
        <f>H17</f>
        <v>30</v>
      </c>
      <c r="I42" s="14">
        <f>+H42*$E42</f>
        <v>14244122.999999998</v>
      </c>
    </row>
    <row r="43" spans="3:15">
      <c r="C43" s="12">
        <f>+C42-1</f>
        <v>-2</v>
      </c>
      <c r="D43" s="3" t="s">
        <v>22</v>
      </c>
      <c r="E43" s="8">
        <v>247.33333333333337</v>
      </c>
      <c r="F43" s="18">
        <f>F18</f>
        <v>3</v>
      </c>
      <c r="G43" s="8">
        <f>+F43*$E43</f>
        <v>742.00000000000011</v>
      </c>
      <c r="H43" s="18">
        <f>H18</f>
        <v>3</v>
      </c>
      <c r="I43" s="8">
        <f>+H43*$E43</f>
        <v>742.00000000000011</v>
      </c>
    </row>
    <row r="44" spans="3:15">
      <c r="C44" s="12">
        <f t="shared" ref="C44:C55" si="1">+C43-1</f>
        <v>-3</v>
      </c>
      <c r="D44" s="21" t="s">
        <v>90</v>
      </c>
    </row>
    <row r="45" spans="3:15">
      <c r="C45" s="12">
        <f t="shared" si="1"/>
        <v>-4</v>
      </c>
      <c r="D45" s="22" t="s">
        <v>91</v>
      </c>
      <c r="E45" s="8">
        <v>15582809.577394061</v>
      </c>
      <c r="F45" s="13">
        <f>F20</f>
        <v>1.58</v>
      </c>
      <c r="G45" s="14">
        <f>+F45*$E45</f>
        <v>24620839.132282618</v>
      </c>
      <c r="H45" s="13">
        <f>H20</f>
        <v>2.0299999999999998</v>
      </c>
      <c r="I45" s="14">
        <f>+H45*$E45</f>
        <v>31633103.442109939</v>
      </c>
    </row>
    <row r="46" spans="3:15">
      <c r="C46" s="12">
        <f t="shared" si="1"/>
        <v>-5</v>
      </c>
      <c r="D46" s="21" t="s">
        <v>92</v>
      </c>
      <c r="E46" s="8"/>
      <c r="F46" s="27"/>
      <c r="G46" s="8"/>
      <c r="H46" s="27"/>
      <c r="I46" s="8"/>
      <c r="L46" s="15" t="str">
        <f>L17</f>
        <v>Large General Service, Schedule 9 Secondary Service - Standard (Default)</v>
      </c>
      <c r="M46" s="16"/>
      <c r="N46" s="16"/>
      <c r="O46" s="17"/>
    </row>
    <row r="47" spans="3:15">
      <c r="C47" s="12">
        <f t="shared" si="1"/>
        <v>-6</v>
      </c>
      <c r="D47" s="22" t="s">
        <v>93</v>
      </c>
      <c r="E47" s="8">
        <v>4171056.3548932606</v>
      </c>
      <c r="F47" s="13">
        <f>F22</f>
        <v>8.1199999999999992</v>
      </c>
      <c r="G47" s="14">
        <f>+F47*$E47</f>
        <v>33868977.601733275</v>
      </c>
      <c r="H47" s="13">
        <f>H22</f>
        <v>10.14</v>
      </c>
      <c r="I47" s="14">
        <f>+H47*$E47</f>
        <v>42294511.438617662</v>
      </c>
      <c r="L47" s="39" t="s">
        <v>23</v>
      </c>
      <c r="M47" s="25"/>
      <c r="N47" s="25"/>
      <c r="O47" s="26">
        <f>I55</f>
        <v>331876477.85701585</v>
      </c>
    </row>
    <row r="48" spans="3:15" ht="14.25">
      <c r="C48" s="12">
        <f t="shared" si="1"/>
        <v>-7</v>
      </c>
      <c r="D48" s="22" t="s">
        <v>94</v>
      </c>
      <c r="E48" s="28">
        <v>7373548.060786766</v>
      </c>
      <c r="F48" s="18">
        <f>F23</f>
        <v>6.3900000000000006</v>
      </c>
      <c r="G48" s="28">
        <f>+F48*$E48</f>
        <v>47116972.108427443</v>
      </c>
      <c r="H48" s="18">
        <f>H23</f>
        <v>8.16</v>
      </c>
      <c r="I48" s="28">
        <f>+H48*$E48</f>
        <v>60168152.176020011</v>
      </c>
      <c r="O48" s="14"/>
    </row>
    <row r="49" spans="3:15">
      <c r="C49" s="12">
        <f t="shared" si="1"/>
        <v>-8</v>
      </c>
      <c r="D49" s="61" t="s">
        <v>95</v>
      </c>
      <c r="E49" s="8">
        <f>+SUM(E47:E48)</f>
        <v>11544604.415680027</v>
      </c>
      <c r="F49" s="23"/>
      <c r="G49" s="14">
        <f>+SUM(G47:G48)</f>
        <v>80985949.710160717</v>
      </c>
      <c r="H49" s="23"/>
      <c r="I49" s="14">
        <f>+SUM(I47:I48)</f>
        <v>102462663.61463767</v>
      </c>
      <c r="L49" s="52"/>
      <c r="O49" s="14"/>
    </row>
    <row r="50" spans="3:15" ht="14.25">
      <c r="C50" s="12">
        <f t="shared" si="1"/>
        <v>-9</v>
      </c>
      <c r="D50" s="33" t="s">
        <v>97</v>
      </c>
      <c r="E50" s="28"/>
      <c r="F50" s="29"/>
      <c r="G50" s="28"/>
      <c r="H50" s="29"/>
      <c r="I50" s="28"/>
    </row>
    <row r="51" spans="3:15">
      <c r="C51" s="12">
        <f t="shared" si="1"/>
        <v>-10</v>
      </c>
      <c r="D51" s="22" t="s">
        <v>93</v>
      </c>
      <c r="E51" s="8">
        <v>1204724349.9934053</v>
      </c>
      <c r="F51" s="23">
        <f>F26</f>
        <v>5.4658000000000005E-2</v>
      </c>
      <c r="G51" s="14">
        <f>+F51*$E51</f>
        <v>65847823.521939553</v>
      </c>
      <c r="H51" s="23">
        <f>H26</f>
        <v>5.4087999999999997E-2</v>
      </c>
      <c r="I51" s="14">
        <f>+H51*$E51</f>
        <v>65161130.642443307</v>
      </c>
    </row>
    <row r="52" spans="3:15" ht="14.25">
      <c r="C52" s="12">
        <f t="shared" si="1"/>
        <v>-11</v>
      </c>
      <c r="D52" s="22" t="s">
        <v>94</v>
      </c>
      <c r="E52" s="28">
        <v>2200109938.9975643</v>
      </c>
      <c r="F52" s="27">
        <f>F27</f>
        <v>5.2721000000000004E-2</v>
      </c>
      <c r="G52" s="28">
        <f>+F52*$E52</f>
        <v>115991996.09389059</v>
      </c>
      <c r="H52" s="27">
        <f>H27</f>
        <v>5.3803999999999998E-2</v>
      </c>
      <c r="I52" s="28">
        <f>+H52*$E52</f>
        <v>118374715.15782495</v>
      </c>
    </row>
    <row r="53" spans="3:15">
      <c r="C53" s="12">
        <f t="shared" si="1"/>
        <v>-12</v>
      </c>
      <c r="D53" s="3" t="s">
        <v>39</v>
      </c>
      <c r="E53" s="8">
        <f>+SUM(E51:E52)</f>
        <v>3404834288.9909697</v>
      </c>
      <c r="F53" s="23"/>
      <c r="G53" s="14">
        <f>+SUM(G51:G52)</f>
        <v>181839819.61583015</v>
      </c>
      <c r="I53" s="14">
        <f>+SUM(I51:I52)</f>
        <v>183535845.80026826</v>
      </c>
    </row>
    <row r="54" spans="3:15">
      <c r="C54" s="12">
        <f t="shared" si="1"/>
        <v>-13</v>
      </c>
      <c r="D54" s="3" t="s">
        <v>41</v>
      </c>
      <c r="G54" s="38">
        <v>10308612.773971811</v>
      </c>
    </row>
    <row r="55" spans="3:15">
      <c r="C55" s="12">
        <f t="shared" si="1"/>
        <v>-14</v>
      </c>
      <c r="D55" s="3" t="s">
        <v>43</v>
      </c>
      <c r="G55" s="14">
        <f>+SUM(G54,G53,G49,G45,G42:G43)</f>
        <v>309626065.73224533</v>
      </c>
      <c r="I55" s="14">
        <f>+SUM(I54,I53,I49,I45,I42:I43)</f>
        <v>331876477.85701585</v>
      </c>
      <c r="L55" s="14"/>
    </row>
    <row r="57" spans="3:15">
      <c r="C57" s="43" t="s">
        <v>45</v>
      </c>
      <c r="D57" s="44" t="s">
        <v>46</v>
      </c>
      <c r="E57" s="44" t="s">
        <v>46</v>
      </c>
      <c r="F57" s="44" t="s">
        <v>46</v>
      </c>
      <c r="G57" s="44" t="s">
        <v>46</v>
      </c>
      <c r="H57" s="44" t="s">
        <v>46</v>
      </c>
      <c r="I57" s="45" t="s">
        <v>47</v>
      </c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A55D4-8EEE-42F3-8576-5B8C2D2A87C0}">
  <sheetPr>
    <tabColor theme="3"/>
    <pageSetUpPr fitToPage="1"/>
  </sheetPr>
  <dimension ref="C3:Q69"/>
  <sheetViews>
    <sheetView showGridLines="0" view="pageBreakPreview" topLeftCell="A10" zoomScaleNormal="9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88</v>
      </c>
      <c r="D9" s="2"/>
      <c r="E9" s="2"/>
      <c r="F9" s="2"/>
      <c r="G9" s="2"/>
      <c r="H9" s="2"/>
      <c r="I9" s="2"/>
    </row>
    <row r="10" spans="3:9">
      <c r="C10" s="2" t="s">
        <v>99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7">
      <c r="C17" s="12">
        <v>-1</v>
      </c>
      <c r="D17" s="3" t="s">
        <v>21</v>
      </c>
      <c r="E17" s="8">
        <v>474816.09999999992</v>
      </c>
      <c r="F17" s="13">
        <v>25</v>
      </c>
      <c r="G17" s="14">
        <f>+F17*$E17</f>
        <v>11870402.499999998</v>
      </c>
      <c r="H17" s="13">
        <f>I09S!H17</f>
        <v>30</v>
      </c>
      <c r="I17" s="14">
        <f>+H17*$E17</f>
        <v>14244482.999999998</v>
      </c>
      <c r="L17" s="15" t="str">
        <f>+_xlfn.CONCAT(C9,", ",C10)</f>
        <v>Large General Service, Schedule 9 Secondary Service - Time-of-Use (Optional)</v>
      </c>
      <c r="M17" s="16"/>
      <c r="N17" s="16"/>
      <c r="O17" s="17"/>
    </row>
    <row r="18" spans="3:17">
      <c r="C18" s="12">
        <f>+C17-1</f>
        <v>-2</v>
      </c>
      <c r="D18" s="3" t="s">
        <v>22</v>
      </c>
      <c r="E18" s="8">
        <v>247.33333333333337</v>
      </c>
      <c r="F18" s="18">
        <v>3</v>
      </c>
      <c r="G18" s="8">
        <f>+F18*$E18</f>
        <v>742.00000000000011</v>
      </c>
      <c r="H18" s="18">
        <f>I09S!H18</f>
        <v>3</v>
      </c>
      <c r="I18" s="8">
        <f>+H18*$E18</f>
        <v>742.00000000000011</v>
      </c>
      <c r="L18" s="19" t="s">
        <v>23</v>
      </c>
      <c r="O18" s="20">
        <f>+I37</f>
        <v>331879975.14284039</v>
      </c>
    </row>
    <row r="19" spans="3:17">
      <c r="C19" s="12">
        <f t="shared" ref="C19:C37" si="0">+C18-1</f>
        <v>-3</v>
      </c>
      <c r="D19" s="21" t="s">
        <v>90</v>
      </c>
      <c r="H19" s="13"/>
      <c r="L19" s="19" t="s">
        <v>25</v>
      </c>
      <c r="O19" s="20">
        <f>+I09S!$O$19</f>
        <v>331880067.56527531</v>
      </c>
    </row>
    <row r="20" spans="3:17">
      <c r="C20" s="12">
        <f t="shared" si="0"/>
        <v>-4</v>
      </c>
      <c r="D20" s="22" t="s">
        <v>91</v>
      </c>
      <c r="E20" s="8">
        <v>15582929.577394061</v>
      </c>
      <c r="F20" s="13">
        <v>1.58</v>
      </c>
      <c r="G20" s="14">
        <f>+F20*$E20</f>
        <v>24621028.732282616</v>
      </c>
      <c r="H20" s="13">
        <f>I09S!$H$20</f>
        <v>2.0299999999999998</v>
      </c>
      <c r="I20" s="14">
        <f>+H20*$E20</f>
        <v>31633347.04210994</v>
      </c>
      <c r="L20" s="24" t="s">
        <v>27</v>
      </c>
      <c r="M20" s="25"/>
      <c r="N20" s="25"/>
      <c r="O20" s="26">
        <f>+O18-O19</f>
        <v>-92.42243492603302</v>
      </c>
    </row>
    <row r="21" spans="3:17">
      <c r="C21" s="12">
        <f t="shared" si="0"/>
        <v>-5</v>
      </c>
      <c r="D21" s="21" t="s">
        <v>92</v>
      </c>
      <c r="E21" s="8"/>
      <c r="F21" s="27"/>
      <c r="G21" s="8"/>
      <c r="H21" s="13"/>
      <c r="I21" s="8"/>
    </row>
    <row r="22" spans="3:17">
      <c r="C22" s="12">
        <f t="shared" si="0"/>
        <v>-6</v>
      </c>
      <c r="D22" s="22" t="s">
        <v>93</v>
      </c>
      <c r="E22" s="8">
        <v>4171092.5788932615</v>
      </c>
      <c r="F22" s="13">
        <v>8.1199999999999992</v>
      </c>
      <c r="G22" s="14">
        <f>+F22*$E22</f>
        <v>33869271.740613282</v>
      </c>
      <c r="H22" s="13">
        <f>I09S!H22</f>
        <v>10.14</v>
      </c>
      <c r="I22" s="14">
        <f>+H22*$E22</f>
        <v>42294878.749977671</v>
      </c>
      <c r="L22" s="30" t="s">
        <v>30</v>
      </c>
      <c r="M22" s="16"/>
      <c r="N22" s="16"/>
      <c r="O22" s="31">
        <f>+O18/G37-1</f>
        <v>7.1754743161531742E-2</v>
      </c>
    </row>
    <row r="23" spans="3:17" ht="14.25">
      <c r="C23" s="12">
        <f t="shared" si="0"/>
        <v>-7</v>
      </c>
      <c r="D23" s="22" t="s">
        <v>94</v>
      </c>
      <c r="E23" s="28">
        <v>7373577.628786765</v>
      </c>
      <c r="F23" s="18">
        <v>6.3900000000000006</v>
      </c>
      <c r="G23" s="28">
        <f>+F23*$E23</f>
        <v>47117161.047947429</v>
      </c>
      <c r="H23" s="18">
        <f>I09S!H23</f>
        <v>8.16</v>
      </c>
      <c r="I23" s="28">
        <f>+H23*$E23</f>
        <v>60168393.450900003</v>
      </c>
      <c r="L23" s="19" t="s">
        <v>25</v>
      </c>
      <c r="O23" s="32">
        <f>(O19-G37)/G37</f>
        <v>7.1755041625405566E-2</v>
      </c>
    </row>
    <row r="24" spans="3:17">
      <c r="C24" s="12">
        <f t="shared" si="0"/>
        <v>-8</v>
      </c>
      <c r="D24" s="61" t="s">
        <v>95</v>
      </c>
      <c r="E24" s="8">
        <f>+SUM(E22:E23)</f>
        <v>11544670.207680026</v>
      </c>
      <c r="F24" s="23"/>
      <c r="G24" s="14">
        <f>+SUM(G22:G23)</f>
        <v>80986432.788560718</v>
      </c>
      <c r="H24" s="27"/>
      <c r="I24" s="14">
        <f>+SUM(I22:I23)</f>
        <v>102463272.20087767</v>
      </c>
      <c r="L24" s="19" t="s">
        <v>33</v>
      </c>
      <c r="O24" s="34">
        <v>1.0052863193562531</v>
      </c>
    </row>
    <row r="25" spans="3:17" ht="14.25">
      <c r="C25" s="12">
        <f t="shared" si="0"/>
        <v>-9</v>
      </c>
      <c r="D25" s="33" t="s">
        <v>24</v>
      </c>
      <c r="E25" s="28"/>
      <c r="F25" s="29"/>
      <c r="G25" s="28"/>
      <c r="H25" s="29"/>
      <c r="I25" s="28"/>
      <c r="L25" s="19" t="s">
        <v>34</v>
      </c>
      <c r="O25" s="34">
        <f>+F29/F34</f>
        <v>1.036186778983871</v>
      </c>
    </row>
    <row r="26" spans="3:17">
      <c r="C26" s="12">
        <f t="shared" si="0"/>
        <v>-10</v>
      </c>
      <c r="D26" s="22" t="s">
        <v>66</v>
      </c>
      <c r="E26" s="8">
        <v>165847351.30992764</v>
      </c>
      <c r="F26" s="23">
        <v>5.8488999999999999E-2</v>
      </c>
      <c r="G26" s="14">
        <f>+F26*$E26</f>
        <v>9700245.7307663579</v>
      </c>
      <c r="H26" s="23">
        <v>7.1724999999999997E-2</v>
      </c>
      <c r="I26" s="14">
        <f t="shared" ref="I26:I33" si="1">+H26*$E26</f>
        <v>11895401.27270456</v>
      </c>
      <c r="L26" s="39" t="s">
        <v>35</v>
      </c>
      <c r="M26" s="25"/>
      <c r="N26" s="25"/>
      <c r="O26" s="40">
        <v>1.0052784179614898</v>
      </c>
    </row>
    <row r="27" spans="3:17">
      <c r="C27" s="12">
        <f t="shared" si="0"/>
        <v>-11</v>
      </c>
      <c r="D27" s="22" t="s">
        <v>67</v>
      </c>
      <c r="E27" s="8">
        <v>238538268.2113131</v>
      </c>
      <c r="F27" s="27">
        <v>5.8488999999999999E-2</v>
      </c>
      <c r="G27" s="8">
        <f>+F27*$E27</f>
        <v>13951864.769411491</v>
      </c>
      <c r="H27" s="27">
        <v>6.0347999999999999E-2</v>
      </c>
      <c r="I27" s="8">
        <f t="shared" si="1"/>
        <v>14395307.410016323</v>
      </c>
      <c r="O27" s="18"/>
    </row>
    <row r="28" spans="3:17" ht="14.25">
      <c r="C28" s="12">
        <f t="shared" si="0"/>
        <v>-12</v>
      </c>
      <c r="D28" s="22" t="s">
        <v>68</v>
      </c>
      <c r="E28" s="28">
        <v>800347526.4991647</v>
      </c>
      <c r="F28" s="29">
        <v>5.2708999999999999E-2</v>
      </c>
      <c r="G28" s="28">
        <f>+F28*$E28</f>
        <v>42185517.774244472</v>
      </c>
      <c r="H28" s="29">
        <v>4.8568E-2</v>
      </c>
      <c r="I28" s="28">
        <f t="shared" si="1"/>
        <v>38871278.667011432</v>
      </c>
      <c r="L28" s="15" t="s">
        <v>100</v>
      </c>
      <c r="M28" s="16"/>
      <c r="N28" s="16"/>
      <c r="O28" s="62"/>
      <c r="Q28" s="18"/>
    </row>
    <row r="29" spans="3:17">
      <c r="C29" s="12">
        <f t="shared" si="0"/>
        <v>-13</v>
      </c>
      <c r="D29" s="61" t="s">
        <v>31</v>
      </c>
      <c r="E29" s="8">
        <f>SUM(E26:E28)</f>
        <v>1204733146.0204053</v>
      </c>
      <c r="F29" s="23">
        <f>+G29/E29</f>
        <v>5.4649138269253848E-2</v>
      </c>
      <c r="G29" s="14">
        <f>+SUM(G26:G28)</f>
        <v>65837628.274422318</v>
      </c>
      <c r="H29" s="23">
        <f>+I29/E29</f>
        <v>5.4088316209263347E-2</v>
      </c>
      <c r="I29" s="14">
        <f>+SUM(I26:I28)</f>
        <v>65161987.349732317</v>
      </c>
      <c r="L29" s="19" t="s">
        <v>101</v>
      </c>
      <c r="O29" s="63">
        <v>1.29493045486975</v>
      </c>
    </row>
    <row r="30" spans="3:17">
      <c r="C30" s="12">
        <f t="shared" si="0"/>
        <v>-14</v>
      </c>
      <c r="D30" s="33" t="s">
        <v>32</v>
      </c>
      <c r="E30" s="8"/>
      <c r="F30" s="23"/>
      <c r="G30" s="14"/>
      <c r="H30" s="23"/>
      <c r="I30" s="14"/>
      <c r="L30" s="19" t="s">
        <v>102</v>
      </c>
      <c r="O30" s="63">
        <v>0.69464646932802199</v>
      </c>
    </row>
    <row r="31" spans="3:17">
      <c r="C31" s="12">
        <f t="shared" si="0"/>
        <v>-15</v>
      </c>
      <c r="D31" s="22" t="s">
        <v>66</v>
      </c>
      <c r="E31" s="8">
        <v>491567319.5613308</v>
      </c>
      <c r="F31" s="23">
        <v>5.5754999999999999E-2</v>
      </c>
      <c r="G31" s="14">
        <f>+F31*$E31</f>
        <v>27407335.902141999</v>
      </c>
      <c r="H31" s="23">
        <v>5.9560000000000002E-2</v>
      </c>
      <c r="I31" s="14">
        <f t="shared" si="1"/>
        <v>29277749.553072862</v>
      </c>
      <c r="L31" s="19" t="s">
        <v>103</v>
      </c>
      <c r="O31" s="63">
        <v>1.1502439120135297</v>
      </c>
    </row>
    <row r="32" spans="3:17">
      <c r="C32" s="12">
        <f t="shared" si="0"/>
        <v>-16</v>
      </c>
      <c r="D32" s="22" t="s">
        <v>67</v>
      </c>
      <c r="E32" s="8">
        <v>516485446.10689324</v>
      </c>
      <c r="F32" s="27">
        <v>5.3259000000000001E-2</v>
      </c>
      <c r="G32" s="8">
        <f>+F32*$E32</f>
        <v>27507498.374207027</v>
      </c>
      <c r="H32" s="27">
        <v>5.4607999999999997E-2</v>
      </c>
      <c r="I32" s="8">
        <f t="shared" si="1"/>
        <v>28204237.241005223</v>
      </c>
      <c r="L32" s="39" t="s">
        <v>104</v>
      </c>
      <c r="M32" s="25"/>
      <c r="N32" s="25"/>
      <c r="O32" s="64">
        <v>0.89302252886116762</v>
      </c>
    </row>
    <row r="33" spans="3:15" ht="14.25">
      <c r="C33" s="12">
        <f t="shared" si="0"/>
        <v>-17</v>
      </c>
      <c r="D33" s="22" t="s">
        <v>68</v>
      </c>
      <c r="E33" s="28">
        <v>1192063049.4693403</v>
      </c>
      <c r="F33" s="29">
        <v>5.1272999999999999E-2</v>
      </c>
      <c r="G33" s="28">
        <f>+F33*$E33</f>
        <v>61120648.735441484</v>
      </c>
      <c r="H33" s="29">
        <v>5.1083000000000003E-2</v>
      </c>
      <c r="I33" s="28">
        <f t="shared" si="1"/>
        <v>60894156.756042317</v>
      </c>
    </row>
    <row r="34" spans="3:15" ht="14.25">
      <c r="C34" s="12">
        <f t="shared" si="0"/>
        <v>-18</v>
      </c>
      <c r="D34" s="61" t="s">
        <v>37</v>
      </c>
      <c r="E34" s="28">
        <f>SUM(E31:E33)</f>
        <v>2200115815.1375647</v>
      </c>
      <c r="F34" s="23">
        <f>+G34/E34</f>
        <v>5.2740624931390381E-2</v>
      </c>
      <c r="G34" s="35">
        <f>+SUM(G31:G33)</f>
        <v>116035483.01179051</v>
      </c>
      <c r="H34" s="23">
        <f>+I34/E34</f>
        <v>5.3804505533595649E-2</v>
      </c>
      <c r="I34" s="14">
        <f>+SUM(I31:I33)</f>
        <v>118376143.5501204</v>
      </c>
      <c r="L34" s="15" t="s">
        <v>105</v>
      </c>
      <c r="M34" s="16"/>
      <c r="N34" s="16"/>
      <c r="O34" s="17"/>
    </row>
    <row r="35" spans="3:15">
      <c r="C35" s="12">
        <f t="shared" si="0"/>
        <v>-19</v>
      </c>
      <c r="D35" s="61" t="s">
        <v>39</v>
      </c>
      <c r="E35" s="8">
        <f>+SUM(E34,E29)</f>
        <v>3404848961.15797</v>
      </c>
      <c r="F35" s="23"/>
      <c r="G35" s="14">
        <f>+SUM(G34,G29)</f>
        <v>181873111.28621283</v>
      </c>
      <c r="I35" s="14">
        <f>+SUM(I34,I29)</f>
        <v>183538130.89985272</v>
      </c>
      <c r="L35" s="19" t="s">
        <v>106</v>
      </c>
      <c r="O35" s="65">
        <v>3.2320854063726881E-2</v>
      </c>
    </row>
    <row r="36" spans="3:15">
      <c r="C36" s="12">
        <f t="shared" si="0"/>
        <v>-20</v>
      </c>
      <c r="D36" s="3" t="s">
        <v>41</v>
      </c>
      <c r="G36" s="38">
        <f>I09S!$G$29</f>
        <v>10308657.196012745</v>
      </c>
      <c r="L36" s="19" t="s">
        <v>107</v>
      </c>
      <c r="O36" s="66">
        <v>3.2150894169557506E-2</v>
      </c>
    </row>
    <row r="37" spans="3:15">
      <c r="C37" s="12">
        <f t="shared" si="0"/>
        <v>-21</v>
      </c>
      <c r="D37" s="3" t="s">
        <v>43</v>
      </c>
      <c r="G37" s="14">
        <f>+SUM(G36,G35,G24,G20,G17:G18)</f>
        <v>309660374.50306892</v>
      </c>
      <c r="I37" s="14">
        <f>+SUM(I36,I35,I24,I20,I17:I18)</f>
        <v>331879975.14284039</v>
      </c>
      <c r="L37" s="19" t="s">
        <v>108</v>
      </c>
      <c r="O37" s="66">
        <f>(O19-I17-I18-I20-I24)/(SUM(E26:E28)+(SUM(E31:E33))/O26)</f>
        <v>5.4088467274973115E-2</v>
      </c>
    </row>
    <row r="38" spans="3:15">
      <c r="G38" s="14"/>
      <c r="L38" s="19" t="s">
        <v>109</v>
      </c>
      <c r="O38" s="66">
        <f>+O37/O26</f>
        <v>5.3804464821451223E-2</v>
      </c>
    </row>
    <row r="39" spans="3:15">
      <c r="C39" s="43" t="s">
        <v>45</v>
      </c>
      <c r="D39" s="44" t="s">
        <v>46</v>
      </c>
      <c r="E39" s="44" t="s">
        <v>46</v>
      </c>
      <c r="F39" s="44" t="s">
        <v>46</v>
      </c>
      <c r="G39" s="44" t="s">
        <v>46</v>
      </c>
      <c r="H39" s="44" t="s">
        <v>46</v>
      </c>
      <c r="I39" s="45" t="s">
        <v>47</v>
      </c>
      <c r="L39" s="19" t="s">
        <v>110</v>
      </c>
      <c r="O39" s="66">
        <f>+O37-O35</f>
        <v>2.1767613211246234E-2</v>
      </c>
    </row>
    <row r="40" spans="3:15">
      <c r="G40" s="14"/>
      <c r="L40" s="19" t="s">
        <v>111</v>
      </c>
      <c r="O40" s="66">
        <f>+O38-O36</f>
        <v>2.1653570651893717E-2</v>
      </c>
    </row>
    <row r="41" spans="3:15">
      <c r="C41" s="9"/>
      <c r="D41" s="9"/>
      <c r="E41" s="10" t="s">
        <v>9</v>
      </c>
      <c r="F41" s="10" t="s">
        <v>10</v>
      </c>
      <c r="G41" s="10" t="s">
        <v>9</v>
      </c>
      <c r="H41" s="10" t="s">
        <v>11</v>
      </c>
      <c r="I41" s="10" t="s">
        <v>11</v>
      </c>
      <c r="L41" s="19" t="s">
        <v>112</v>
      </c>
      <c r="O41" s="66">
        <f>+O42*O29</f>
        <v>4.9959500527615532E-2</v>
      </c>
    </row>
    <row r="42" spans="3:15">
      <c r="C42" s="10" t="s">
        <v>12</v>
      </c>
      <c r="D42" s="9"/>
      <c r="E42" s="10" t="s">
        <v>13</v>
      </c>
      <c r="F42" s="10" t="s">
        <v>14</v>
      </c>
      <c r="G42" s="10" t="s">
        <v>14</v>
      </c>
      <c r="H42" s="10" t="s">
        <v>15</v>
      </c>
      <c r="I42" s="10" t="s">
        <v>15</v>
      </c>
      <c r="L42" s="19" t="s">
        <v>113</v>
      </c>
      <c r="O42" s="66">
        <f>+(O35*E29)/((E28*O30)+(E26*O29)+E27)</f>
        <v>3.8580836785277926E-2</v>
      </c>
    </row>
    <row r="43" spans="3:15" ht="14.25">
      <c r="C43" s="11" t="s">
        <v>16</v>
      </c>
      <c r="D43" s="11" t="s">
        <v>17</v>
      </c>
      <c r="E43" s="11" t="s">
        <v>18</v>
      </c>
      <c r="F43" s="11" t="s">
        <v>19</v>
      </c>
      <c r="G43" s="11" t="s">
        <v>20</v>
      </c>
      <c r="H43" s="11" t="s">
        <v>19</v>
      </c>
      <c r="I43" s="11" t="s">
        <v>20</v>
      </c>
      <c r="L43" s="19" t="s">
        <v>114</v>
      </c>
      <c r="O43" s="66">
        <f>+O42*O30</f>
        <v>2.6800042056613984E-2</v>
      </c>
    </row>
    <row r="44" spans="3:15">
      <c r="C44" s="12">
        <v>-1</v>
      </c>
      <c r="D44" s="3" t="s">
        <v>21</v>
      </c>
      <c r="E44" s="8">
        <v>12</v>
      </c>
      <c r="F44" s="13">
        <v>25</v>
      </c>
      <c r="G44" s="14">
        <f>+F44*$E44</f>
        <v>300</v>
      </c>
      <c r="H44" s="13">
        <f>H17</f>
        <v>30</v>
      </c>
      <c r="I44" s="14">
        <f>+H44*$E44</f>
        <v>360</v>
      </c>
      <c r="L44" s="19" t="s">
        <v>115</v>
      </c>
      <c r="O44" s="66">
        <f>+O45*O31</f>
        <v>3.7906037555623835E-2</v>
      </c>
    </row>
    <row r="45" spans="3:15">
      <c r="C45" s="12">
        <f>+C44-1</f>
        <v>-2</v>
      </c>
      <c r="D45" s="3" t="s">
        <v>22</v>
      </c>
      <c r="E45" s="8">
        <v>0</v>
      </c>
      <c r="F45" s="18">
        <v>3</v>
      </c>
      <c r="G45" s="8">
        <f>+F45*$E45</f>
        <v>0</v>
      </c>
      <c r="H45" s="18">
        <f>H18</f>
        <v>3</v>
      </c>
      <c r="I45" s="8">
        <f>+H45*$E45</f>
        <v>0</v>
      </c>
      <c r="L45" s="19" t="s">
        <v>116</v>
      </c>
      <c r="O45" s="66">
        <f>+(O36*E34)/((E33*O32)+(E31*O31)+E32)</f>
        <v>3.2954782163783336E-2</v>
      </c>
    </row>
    <row r="46" spans="3:15">
      <c r="C46" s="12">
        <f t="shared" ref="C46:C64" si="2">+C45-1</f>
        <v>-3</v>
      </c>
      <c r="D46" s="21" t="s">
        <v>90</v>
      </c>
      <c r="L46" s="39" t="s">
        <v>117</v>
      </c>
      <c r="M46" s="25"/>
      <c r="N46" s="25"/>
      <c r="O46" s="67">
        <f>+O45*O32</f>
        <v>2.9429362905970695E-2</v>
      </c>
    </row>
    <row r="47" spans="3:15">
      <c r="C47" s="12">
        <f t="shared" si="2"/>
        <v>-4</v>
      </c>
      <c r="D47" s="22" t="s">
        <v>91</v>
      </c>
      <c r="E47" s="8">
        <v>120</v>
      </c>
      <c r="F47" s="13">
        <v>1.58</v>
      </c>
      <c r="G47" s="14">
        <f>+F47*$E47</f>
        <v>189.60000000000002</v>
      </c>
      <c r="H47" s="13">
        <f>H20</f>
        <v>2.0299999999999998</v>
      </c>
      <c r="I47" s="14">
        <f>+H47*$E47</f>
        <v>243.59999999999997</v>
      </c>
    </row>
    <row r="48" spans="3:15">
      <c r="C48" s="12">
        <f t="shared" si="2"/>
        <v>-5</v>
      </c>
      <c r="D48" s="21" t="s">
        <v>92</v>
      </c>
      <c r="E48" s="8"/>
      <c r="F48" s="27"/>
      <c r="G48" s="8"/>
      <c r="H48" s="27"/>
      <c r="I48" s="8"/>
      <c r="L48" s="41" t="s">
        <v>55</v>
      </c>
      <c r="M48" s="6"/>
      <c r="N48" s="6"/>
      <c r="O48" s="49">
        <v>-1.9999999999999999E-6</v>
      </c>
    </row>
    <row r="49" spans="3:15">
      <c r="C49" s="12">
        <f t="shared" si="2"/>
        <v>-6</v>
      </c>
      <c r="D49" s="22" t="s">
        <v>93</v>
      </c>
      <c r="E49" s="8">
        <v>36.224000000000004</v>
      </c>
      <c r="F49" s="13">
        <v>8.1199999999999992</v>
      </c>
      <c r="G49" s="14">
        <f>+F49*$E49</f>
        <v>294.13888000000003</v>
      </c>
      <c r="H49" s="13">
        <f>H22</f>
        <v>10.14</v>
      </c>
      <c r="I49" s="14">
        <f>+H49*$E49</f>
        <v>367.31136000000004</v>
      </c>
    </row>
    <row r="50" spans="3:15" ht="14.25">
      <c r="C50" s="12">
        <f t="shared" si="2"/>
        <v>-7</v>
      </c>
      <c r="D50" s="22" t="s">
        <v>94</v>
      </c>
      <c r="E50" s="28">
        <v>29.567999999999998</v>
      </c>
      <c r="F50" s="18">
        <v>6.3900000000000006</v>
      </c>
      <c r="G50" s="28">
        <f>+F50*$E50</f>
        <v>188.93952000000002</v>
      </c>
      <c r="H50" s="18">
        <f>H23</f>
        <v>8.16</v>
      </c>
      <c r="I50" s="28">
        <f>+H50*$E50</f>
        <v>241.27488</v>
      </c>
      <c r="L50" s="41" t="s">
        <v>44</v>
      </c>
      <c r="M50" s="6"/>
      <c r="N50" s="6"/>
      <c r="O50" s="42">
        <v>0</v>
      </c>
    </row>
    <row r="51" spans="3:15">
      <c r="C51" s="12">
        <f t="shared" si="2"/>
        <v>-8</v>
      </c>
      <c r="D51" s="61" t="s">
        <v>95</v>
      </c>
      <c r="E51" s="8">
        <f>SUM(E49:E50)</f>
        <v>65.792000000000002</v>
      </c>
      <c r="F51" s="23"/>
      <c r="G51" s="14">
        <f>+SUM(G49:G50)</f>
        <v>483.07840000000004</v>
      </c>
      <c r="H51" s="23"/>
      <c r="I51" s="14">
        <f>+SUM(I49:I50)</f>
        <v>608.58624000000009</v>
      </c>
    </row>
    <row r="52" spans="3:15" ht="14.25">
      <c r="C52" s="12">
        <f t="shared" si="2"/>
        <v>-9</v>
      </c>
      <c r="D52" s="33" t="s">
        <v>24</v>
      </c>
      <c r="E52" s="28"/>
      <c r="F52" s="29"/>
      <c r="G52" s="28"/>
      <c r="H52" s="29"/>
      <c r="I52" s="28"/>
    </row>
    <row r="53" spans="3:15">
      <c r="C53" s="12">
        <f t="shared" si="2"/>
        <v>-10</v>
      </c>
      <c r="D53" s="22" t="s">
        <v>66</v>
      </c>
      <c r="E53" s="8">
        <v>1540.383</v>
      </c>
      <c r="F53" s="23">
        <v>5.8488999999999999E-2</v>
      </c>
      <c r="G53" s="14">
        <f>+F53*$E53</f>
        <v>90.095461287000006</v>
      </c>
      <c r="H53" s="23">
        <f>H26</f>
        <v>7.1724999999999997E-2</v>
      </c>
      <c r="I53" s="14">
        <f t="shared" ref="I53:I60" si="3">+H53*$E53</f>
        <v>110.48397067499999</v>
      </c>
      <c r="L53" s="15" t="str">
        <f>L17</f>
        <v>Large General Service, Schedule 9 Secondary Service - Time-of-Use (Optional)</v>
      </c>
      <c r="M53" s="16"/>
      <c r="N53" s="16"/>
      <c r="O53" s="17"/>
    </row>
    <row r="54" spans="3:15">
      <c r="C54" s="12">
        <f t="shared" si="2"/>
        <v>-11</v>
      </c>
      <c r="D54" s="22" t="s">
        <v>67</v>
      </c>
      <c r="E54" s="8">
        <v>2456.4770000000003</v>
      </c>
      <c r="F54" s="27">
        <v>5.8488999999999999E-2</v>
      </c>
      <c r="G54" s="8">
        <f>+F54*$E54</f>
        <v>143.67688325300003</v>
      </c>
      <c r="H54" s="27">
        <f>H27</f>
        <v>6.0347999999999999E-2</v>
      </c>
      <c r="I54" s="8">
        <f t="shared" si="3"/>
        <v>148.24347399600001</v>
      </c>
      <c r="L54" s="39" t="s">
        <v>23</v>
      </c>
      <c r="M54" s="25"/>
      <c r="N54" s="25"/>
      <c r="O54" s="26">
        <f>I64</f>
        <v>2019.8533344939999</v>
      </c>
    </row>
    <row r="55" spans="3:15" ht="14.25">
      <c r="C55" s="12">
        <f t="shared" si="2"/>
        <v>-12</v>
      </c>
      <c r="D55" s="22" t="s">
        <v>68</v>
      </c>
      <c r="E55" s="28">
        <v>4799.1670000000004</v>
      </c>
      <c r="F55" s="29">
        <v>5.2708999999999999E-2</v>
      </c>
      <c r="G55" s="28">
        <f>+F55*$E55</f>
        <v>252.959293403</v>
      </c>
      <c r="H55" s="29">
        <f>H28</f>
        <v>4.8568E-2</v>
      </c>
      <c r="I55" s="28">
        <f t="shared" si="3"/>
        <v>233.08594285600003</v>
      </c>
      <c r="O55" s="14"/>
    </row>
    <row r="56" spans="3:15">
      <c r="C56" s="12">
        <f t="shared" si="2"/>
        <v>-13</v>
      </c>
      <c r="D56" s="61" t="s">
        <v>31</v>
      </c>
      <c r="E56" s="8">
        <f>SUM(E53:E55)</f>
        <v>8796.0270000000019</v>
      </c>
      <c r="F56" s="23"/>
      <c r="G56" s="14">
        <f>+SUM(G53:G55)</f>
        <v>486.73163794300001</v>
      </c>
      <c r="H56" s="23"/>
      <c r="I56" s="14">
        <f>+SUM(I53:I55)</f>
        <v>491.81338752700003</v>
      </c>
      <c r="L56" s="52"/>
      <c r="O56" s="14"/>
    </row>
    <row r="57" spans="3:15">
      <c r="C57" s="12">
        <f t="shared" si="2"/>
        <v>-14</v>
      </c>
      <c r="D57" s="33" t="s">
        <v>32</v>
      </c>
      <c r="E57" s="8"/>
      <c r="F57" s="23"/>
      <c r="G57" s="14"/>
      <c r="H57" s="23"/>
      <c r="I57" s="14"/>
      <c r="O57" s="68"/>
    </row>
    <row r="58" spans="3:15">
      <c r="C58" s="12">
        <f t="shared" si="2"/>
        <v>-15</v>
      </c>
      <c r="D58" s="22" t="s">
        <v>66</v>
      </c>
      <c r="E58" s="8">
        <v>1139.261</v>
      </c>
      <c r="F58" s="23">
        <v>5.5754999999999999E-2</v>
      </c>
      <c r="G58" s="14">
        <f>+F58*$E58</f>
        <v>63.519497054999995</v>
      </c>
      <c r="H58" s="23">
        <f>H31</f>
        <v>5.9560000000000002E-2</v>
      </c>
      <c r="I58" s="14">
        <f t="shared" si="3"/>
        <v>67.854385160000007</v>
      </c>
    </row>
    <row r="59" spans="3:15">
      <c r="C59" s="12">
        <f t="shared" si="2"/>
        <v>-16</v>
      </c>
      <c r="D59" s="22" t="s">
        <v>67</v>
      </c>
      <c r="E59" s="8">
        <v>1709.3139999999987</v>
      </c>
      <c r="F59" s="27">
        <v>5.3259000000000001E-2</v>
      </c>
      <c r="G59" s="8">
        <f>+F59*$E59</f>
        <v>91.036354325999937</v>
      </c>
      <c r="H59" s="27">
        <f>H32</f>
        <v>5.4607999999999997E-2</v>
      </c>
      <c r="I59" s="8">
        <f t="shared" si="3"/>
        <v>93.342218911999922</v>
      </c>
    </row>
    <row r="60" spans="3:15" ht="14.25">
      <c r="C60" s="12">
        <f t="shared" si="2"/>
        <v>-17</v>
      </c>
      <c r="D60" s="22" t="s">
        <v>68</v>
      </c>
      <c r="E60" s="8">
        <v>3027.5650000000001</v>
      </c>
      <c r="F60" s="29">
        <v>5.1272999999999999E-2</v>
      </c>
      <c r="G60" s="28">
        <f>+F60*$E60</f>
        <v>155.23234024499999</v>
      </c>
      <c r="H60" s="29">
        <f>H33</f>
        <v>5.1083000000000003E-2</v>
      </c>
      <c r="I60" s="28">
        <f t="shared" si="3"/>
        <v>154.65710289500001</v>
      </c>
    </row>
    <row r="61" spans="3:15" ht="14.25">
      <c r="C61" s="12">
        <f t="shared" si="2"/>
        <v>-18</v>
      </c>
      <c r="D61" s="61" t="s">
        <v>37</v>
      </c>
      <c r="E61" s="8">
        <f>SUM(E58:E60)</f>
        <v>5876.1399999999994</v>
      </c>
      <c r="F61" s="23"/>
      <c r="G61" s="35">
        <f>+SUM(G58:G60)</f>
        <v>309.78819162599996</v>
      </c>
      <c r="H61" s="23"/>
      <c r="I61" s="14">
        <f>+SUM(I58:I60)</f>
        <v>315.85370696699994</v>
      </c>
    </row>
    <row r="62" spans="3:15">
      <c r="C62" s="12">
        <f t="shared" si="2"/>
        <v>-19</v>
      </c>
      <c r="D62" s="61" t="s">
        <v>39</v>
      </c>
      <c r="E62" s="8">
        <f>E61+E56</f>
        <v>14672.167000000001</v>
      </c>
      <c r="F62" s="23"/>
      <c r="G62" s="14">
        <f>+SUM(G61,G56)</f>
        <v>796.51982956899997</v>
      </c>
      <c r="I62" s="14">
        <f>+SUM(I61,I56)</f>
        <v>807.66709449399991</v>
      </c>
    </row>
    <row r="63" spans="3:15">
      <c r="C63" s="12">
        <f t="shared" si="2"/>
        <v>-20</v>
      </c>
      <c r="D63" s="3" t="s">
        <v>41</v>
      </c>
      <c r="G63" s="38">
        <v>44.42204093370745</v>
      </c>
    </row>
    <row r="64" spans="3:15">
      <c r="C64" s="12">
        <f t="shared" si="2"/>
        <v>-21</v>
      </c>
      <c r="D64" s="3" t="s">
        <v>43</v>
      </c>
      <c r="G64" s="14">
        <f>+SUM(G63,G62,G51,G47,G44:G45)</f>
        <v>1813.6202705027076</v>
      </c>
      <c r="I64" s="14">
        <f>+SUM(I63,I62,I51,I47,I44:I45)</f>
        <v>2019.8533344939999</v>
      </c>
    </row>
    <row r="66" spans="3:9">
      <c r="C66" s="43" t="s">
        <v>45</v>
      </c>
      <c r="D66" s="44" t="s">
        <v>46</v>
      </c>
      <c r="E66" s="44" t="s">
        <v>46</v>
      </c>
      <c r="F66" s="44" t="s">
        <v>46</v>
      </c>
      <c r="G66" s="44" t="s">
        <v>46</v>
      </c>
      <c r="H66" s="44" t="s">
        <v>46</v>
      </c>
      <c r="I66" s="45" t="s">
        <v>47</v>
      </c>
    </row>
    <row r="69" spans="3:9">
      <c r="F69" s="8"/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5AA4E-FC05-44E2-A3D4-48592A0FE912}">
  <sheetPr>
    <tabColor theme="3"/>
    <pageSetUpPr fitToPage="1"/>
  </sheetPr>
  <dimension ref="C3:O50"/>
  <sheetViews>
    <sheetView showGridLines="0" view="pageBreakPreview" topLeftCell="A7" zoomScaleNormal="9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88</v>
      </c>
      <c r="D9" s="2"/>
      <c r="E9" s="2"/>
      <c r="F9" s="2"/>
      <c r="G9" s="2"/>
      <c r="H9" s="2"/>
      <c r="I9" s="2"/>
    </row>
    <row r="10" spans="3:9">
      <c r="C10" s="2" t="s">
        <v>118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v>3500.8</v>
      </c>
      <c r="F17" s="13">
        <v>340</v>
      </c>
      <c r="G17" s="14">
        <f>+F17*$E17</f>
        <v>1190272</v>
      </c>
      <c r="H17" s="13">
        <v>360</v>
      </c>
      <c r="I17" s="14">
        <f>+H17*$E17</f>
        <v>1260288</v>
      </c>
      <c r="L17" s="15" t="str">
        <f>+_xlfn.CONCAT(C9,", ",C10)</f>
        <v>Large General Service, Schedule 9 Primary Service</v>
      </c>
      <c r="M17" s="16"/>
      <c r="N17" s="16"/>
      <c r="O17" s="17"/>
    </row>
    <row r="18" spans="3:15">
      <c r="C18" s="12">
        <f t="shared" ref="C18:C38" si="0">+C17-1</f>
        <v>-2</v>
      </c>
      <c r="D18" s="3" t="s">
        <v>22</v>
      </c>
      <c r="E18" s="8">
        <v>2</v>
      </c>
      <c r="F18" s="18">
        <v>50</v>
      </c>
      <c r="G18" s="8">
        <f>+F18*$E18</f>
        <v>100</v>
      </c>
      <c r="H18" s="18">
        <f>F18</f>
        <v>50</v>
      </c>
      <c r="I18" s="8">
        <f>+H18*$E18</f>
        <v>100</v>
      </c>
      <c r="L18" s="19" t="s">
        <v>23</v>
      </c>
      <c r="O18" s="20">
        <f>+I38</f>
        <v>55940397.996821567</v>
      </c>
    </row>
    <row r="19" spans="3:15">
      <c r="C19" s="12">
        <f t="shared" si="0"/>
        <v>-3</v>
      </c>
      <c r="D19" s="21" t="s">
        <v>90</v>
      </c>
      <c r="H19" s="13"/>
      <c r="L19" s="19" t="s">
        <v>25</v>
      </c>
      <c r="O19" s="20">
        <f>+G38*(1+O23)</f>
        <v>55940414.327425219</v>
      </c>
    </row>
    <row r="20" spans="3:15">
      <c r="C20" s="12">
        <f t="shared" si="0"/>
        <v>-4</v>
      </c>
      <c r="D20" s="22" t="s">
        <v>91</v>
      </c>
      <c r="E20" s="8">
        <v>2079364.1022279239</v>
      </c>
      <c r="F20" s="13">
        <v>1.83</v>
      </c>
      <c r="G20" s="14">
        <f>+F20*$E20</f>
        <v>3805236.307077101</v>
      </c>
      <c r="H20" s="13">
        <v>2.2200000000000002</v>
      </c>
      <c r="I20" s="14">
        <f>+H20*$E20</f>
        <v>4616188.3069459917</v>
      </c>
      <c r="L20" s="24" t="s">
        <v>27</v>
      </c>
      <c r="M20" s="25"/>
      <c r="N20" s="25"/>
      <c r="O20" s="26">
        <f>+O18-O19</f>
        <v>-16.330603651702404</v>
      </c>
    </row>
    <row r="21" spans="3:15">
      <c r="C21" s="12">
        <f t="shared" si="0"/>
        <v>-5</v>
      </c>
      <c r="D21" s="21" t="s">
        <v>92</v>
      </c>
      <c r="E21" s="8"/>
      <c r="F21" s="27"/>
      <c r="G21" s="8"/>
      <c r="H21" s="13"/>
      <c r="I21" s="8"/>
    </row>
    <row r="22" spans="3:15">
      <c r="C22" s="12">
        <f t="shared" si="0"/>
        <v>-6</v>
      </c>
      <c r="D22" s="22" t="s">
        <v>93</v>
      </c>
      <c r="E22" s="8">
        <v>476215.76500766235</v>
      </c>
      <c r="F22" s="13">
        <v>8.35</v>
      </c>
      <c r="G22" s="14">
        <f>+F22*$E22</f>
        <v>3976401.6378139807</v>
      </c>
      <c r="H22" s="13">
        <v>11.04</v>
      </c>
      <c r="I22" s="14">
        <f>+H22*$E22</f>
        <v>5257422.0456845919</v>
      </c>
      <c r="L22" s="30" t="s">
        <v>30</v>
      </c>
      <c r="M22" s="16"/>
      <c r="N22" s="16"/>
      <c r="O22" s="31">
        <f>+O18/G38-1</f>
        <v>6.8770682492104829E-2</v>
      </c>
    </row>
    <row r="23" spans="3:15" ht="14.25">
      <c r="C23" s="12">
        <f t="shared" si="0"/>
        <v>-7</v>
      </c>
      <c r="D23" s="22" t="s">
        <v>94</v>
      </c>
      <c r="E23" s="28">
        <v>1198405.8746211624</v>
      </c>
      <c r="F23" s="18">
        <v>7.91</v>
      </c>
      <c r="G23" s="28">
        <f>+F23*$E23</f>
        <v>9479390.4682533946</v>
      </c>
      <c r="H23" s="18">
        <v>9.91</v>
      </c>
      <c r="I23" s="28">
        <f>+H23*$E23</f>
        <v>11876202.217495719</v>
      </c>
      <c r="L23" s="19" t="s">
        <v>25</v>
      </c>
      <c r="O23" s="32">
        <v>6.8770994496864205E-2</v>
      </c>
    </row>
    <row r="24" spans="3:15">
      <c r="C24" s="12">
        <f t="shared" si="0"/>
        <v>-8</v>
      </c>
      <c r="D24" s="61" t="s">
        <v>95</v>
      </c>
      <c r="E24" s="8">
        <f>+SUM(E22:E23)</f>
        <v>1674621.6396288248</v>
      </c>
      <c r="F24" s="23"/>
      <c r="G24" s="14">
        <f>+SUM(G22:G23)</f>
        <v>13455792.106067374</v>
      </c>
      <c r="H24" s="13"/>
      <c r="I24" s="14">
        <f>+SUM(I22:I23)</f>
        <v>17133624.263180312</v>
      </c>
      <c r="L24" s="19" t="s">
        <v>33</v>
      </c>
      <c r="O24" s="34">
        <f>O35/O36</f>
        <v>1.0159828620197742</v>
      </c>
    </row>
    <row r="25" spans="3:15">
      <c r="C25" s="12">
        <f t="shared" si="0"/>
        <v>-9</v>
      </c>
      <c r="D25" s="61" t="s">
        <v>119</v>
      </c>
      <c r="E25" s="8">
        <v>468865.89549173141</v>
      </c>
      <c r="F25" s="13">
        <v>1.59</v>
      </c>
      <c r="G25" s="14">
        <f>+F25*$E25</f>
        <v>745496.77383185294</v>
      </c>
      <c r="H25" s="13">
        <v>2.1</v>
      </c>
      <c r="I25" s="14">
        <f>+H25*$E25</f>
        <v>984618.38053263596</v>
      </c>
      <c r="L25" s="19" t="s">
        <v>34</v>
      </c>
      <c r="O25" s="34">
        <f>+F30/F35</f>
        <v>1.0890127554204336</v>
      </c>
    </row>
    <row r="26" spans="3:15" ht="14.25">
      <c r="C26" s="12">
        <f t="shared" si="0"/>
        <v>-10</v>
      </c>
      <c r="D26" s="33" t="s">
        <v>24</v>
      </c>
      <c r="E26" s="28"/>
      <c r="F26" s="29"/>
      <c r="G26" s="28"/>
      <c r="H26" s="29"/>
      <c r="I26" s="28"/>
      <c r="L26" s="39" t="s">
        <v>35</v>
      </c>
      <c r="M26" s="25"/>
      <c r="N26" s="25"/>
      <c r="O26" s="40">
        <f>O24</f>
        <v>1.0159828620197742</v>
      </c>
    </row>
    <row r="27" spans="3:15">
      <c r="C27" s="12">
        <f t="shared" si="0"/>
        <v>-11</v>
      </c>
      <c r="D27" s="22" t="s">
        <v>66</v>
      </c>
      <c r="E27" s="8">
        <v>32775131.363500401</v>
      </c>
      <c r="F27" s="23">
        <v>5.3936999999999999E-2</v>
      </c>
      <c r="G27" s="14">
        <f>+F27*$E27</f>
        <v>1767792.2603531212</v>
      </c>
      <c r="H27" s="23">
        <v>6.6710000000000005E-2</v>
      </c>
      <c r="I27" s="14">
        <f>+H27*$E27</f>
        <v>2186429.0132591119</v>
      </c>
      <c r="O27" s="18"/>
    </row>
    <row r="28" spans="3:15">
      <c r="C28" s="12">
        <f t="shared" si="0"/>
        <v>-12</v>
      </c>
      <c r="D28" s="22" t="s">
        <v>67</v>
      </c>
      <c r="E28" s="8">
        <v>46014976.487773724</v>
      </c>
      <c r="F28" s="27">
        <v>5.3936999999999999E-2</v>
      </c>
      <c r="G28" s="8">
        <f>+F28*$E28</f>
        <v>2481909.7868210515</v>
      </c>
      <c r="H28" s="27">
        <v>5.5531999999999998E-2</v>
      </c>
      <c r="I28" s="8">
        <f>+H28*$E28</f>
        <v>2555303.6743190503</v>
      </c>
      <c r="L28" s="15" t="s">
        <v>100</v>
      </c>
      <c r="M28" s="16"/>
      <c r="N28" s="16"/>
      <c r="O28" s="62"/>
    </row>
    <row r="29" spans="3:15" ht="14.25">
      <c r="C29" s="12">
        <f t="shared" si="0"/>
        <v>-13</v>
      </c>
      <c r="D29" s="22" t="s">
        <v>68</v>
      </c>
      <c r="E29" s="28">
        <v>161805090.06648365</v>
      </c>
      <c r="F29" s="29">
        <v>4.8346E-2</v>
      </c>
      <c r="G29" s="28">
        <f>+F29*$E29</f>
        <v>7822628.8843542188</v>
      </c>
      <c r="H29" s="29">
        <v>4.3957000000000003E-2</v>
      </c>
      <c r="I29" s="28">
        <f>+H29*$E29</f>
        <v>7112466.3440524219</v>
      </c>
      <c r="L29" s="19" t="s">
        <v>101</v>
      </c>
      <c r="O29" s="63">
        <v>1.29493045486975</v>
      </c>
    </row>
    <row r="30" spans="3:15">
      <c r="C30" s="12">
        <f t="shared" si="0"/>
        <v>-14</v>
      </c>
      <c r="D30" s="61" t="s">
        <v>31</v>
      </c>
      <c r="E30" s="8">
        <f>+SUM(E27:E29)</f>
        <v>240595197.91775778</v>
      </c>
      <c r="F30" s="23">
        <f>+G30/$E30</f>
        <v>5.0176940504253351E-2</v>
      </c>
      <c r="G30" s="14">
        <f>+SUM(G27:G29)</f>
        <v>12072330.931528391</v>
      </c>
      <c r="H30" s="23">
        <f>+I30/$E30</f>
        <v>4.9270306033633651E-2</v>
      </c>
      <c r="I30" s="14">
        <f>+SUM(I27:I29)</f>
        <v>11854199.031630583</v>
      </c>
      <c r="L30" s="19" t="s">
        <v>102</v>
      </c>
      <c r="O30" s="63">
        <v>0.69464646932802199</v>
      </c>
    </row>
    <row r="31" spans="3:15">
      <c r="C31" s="12">
        <f t="shared" si="0"/>
        <v>-15</v>
      </c>
      <c r="D31" s="33" t="s">
        <v>32</v>
      </c>
      <c r="E31" s="8"/>
      <c r="F31" s="23"/>
      <c r="G31" s="14"/>
      <c r="H31" s="23"/>
      <c r="I31" s="14"/>
      <c r="L31" s="19" t="s">
        <v>103</v>
      </c>
      <c r="O31" s="63">
        <v>1.1502439120135297</v>
      </c>
    </row>
    <row r="32" spans="3:15">
      <c r="C32" s="12">
        <f t="shared" si="0"/>
        <v>-16</v>
      </c>
      <c r="D32" s="22" t="s">
        <v>66</v>
      </c>
      <c r="E32" s="8">
        <v>93275038.833230942</v>
      </c>
      <c r="F32" s="23">
        <v>4.8994999999999997E-2</v>
      </c>
      <c r="G32" s="14">
        <f>+F32*$E32</f>
        <v>4570010.5276341494</v>
      </c>
      <c r="H32" s="23">
        <v>5.4064000000000001E-2</v>
      </c>
      <c r="I32" s="14">
        <f>+H32*$E32</f>
        <v>5042821.6994797979</v>
      </c>
      <c r="L32" s="39" t="s">
        <v>104</v>
      </c>
      <c r="M32" s="25"/>
      <c r="N32" s="25"/>
      <c r="O32" s="64">
        <v>0.89302252886116762</v>
      </c>
    </row>
    <row r="33" spans="3:15">
      <c r="C33" s="12">
        <f t="shared" si="0"/>
        <v>-17</v>
      </c>
      <c r="D33" s="22" t="s">
        <v>67</v>
      </c>
      <c r="E33" s="8">
        <v>96201361.379603326</v>
      </c>
      <c r="F33" s="27">
        <v>4.6579000000000002E-2</v>
      </c>
      <c r="G33" s="8">
        <f>+F33*$E33</f>
        <v>4480963.2117005438</v>
      </c>
      <c r="H33" s="27">
        <v>4.9269E-2</v>
      </c>
      <c r="I33" s="8">
        <f>+H33*$E33</f>
        <v>4739744.8738116762</v>
      </c>
    </row>
    <row r="34" spans="3:15" ht="14.25">
      <c r="C34" s="12">
        <f t="shared" si="0"/>
        <v>-18</v>
      </c>
      <c r="D34" s="22" t="s">
        <v>68</v>
      </c>
      <c r="E34" s="28">
        <v>224818193.42348692</v>
      </c>
      <c r="F34" s="29">
        <v>4.4649000000000001E-2</v>
      </c>
      <c r="G34" s="28">
        <f>+F34*$E34</f>
        <v>10037907.518165268</v>
      </c>
      <c r="H34" s="29">
        <v>4.5853999999999999E-2</v>
      </c>
      <c r="I34" s="28">
        <f>+H34*$E34</f>
        <v>10308813.44124057</v>
      </c>
      <c r="L34" s="15" t="s">
        <v>105</v>
      </c>
      <c r="M34" s="16"/>
      <c r="N34" s="16"/>
      <c r="O34" s="17"/>
    </row>
    <row r="35" spans="3:15" ht="14.25">
      <c r="C35" s="12">
        <f t="shared" si="0"/>
        <v>-19</v>
      </c>
      <c r="D35" s="61" t="s">
        <v>37</v>
      </c>
      <c r="E35" s="28">
        <f>+SUM(E32:E34)</f>
        <v>414294593.63632119</v>
      </c>
      <c r="F35" s="23">
        <f>+G35/$E35</f>
        <v>4.607562239698617E-2</v>
      </c>
      <c r="G35" s="35">
        <f>+SUM(G32:G34)</f>
        <v>19088881.257499963</v>
      </c>
      <c r="H35" s="23">
        <f>+I35/$E35</f>
        <v>4.8495395120141956E-2</v>
      </c>
      <c r="I35" s="35">
        <f>+SUM(I32:I34)</f>
        <v>20091380.014532045</v>
      </c>
      <c r="L35" s="19" t="s">
        <v>106</v>
      </c>
      <c r="O35" s="65">
        <v>3.1644920599323945E-2</v>
      </c>
    </row>
    <row r="36" spans="3:15">
      <c r="C36" s="12">
        <f t="shared" si="0"/>
        <v>-20</v>
      </c>
      <c r="D36" s="61" t="s">
        <v>39</v>
      </c>
      <c r="E36" s="8">
        <f>+SUM(E35,E30)</f>
        <v>654889791.55407894</v>
      </c>
      <c r="F36" s="23"/>
      <c r="G36" s="14">
        <f>+SUM(G35,G30)</f>
        <v>31161212.189028352</v>
      </c>
      <c r="H36" s="23"/>
      <c r="I36" s="14">
        <f>+SUM(I35,I30)</f>
        <v>31945579.046162628</v>
      </c>
      <c r="L36" s="19" t="s">
        <v>107</v>
      </c>
      <c r="O36" s="66">
        <v>3.1147100785158754E-2</v>
      </c>
    </row>
    <row r="37" spans="3:15">
      <c r="C37" s="12">
        <f t="shared" si="0"/>
        <v>-21</v>
      </c>
      <c r="D37" s="3" t="s">
        <v>41</v>
      </c>
      <c r="G37" s="38">
        <v>1982770.5837474032</v>
      </c>
      <c r="L37" s="19" t="s">
        <v>108</v>
      </c>
      <c r="O37" s="66">
        <f>(O19-I17-I18-I20-I24-I25)/(SUM(E27:E29)+(SUM(E32:E34))/O26)</f>
        <v>4.9270447128514208E-2</v>
      </c>
    </row>
    <row r="38" spans="3:15">
      <c r="C38" s="12">
        <f t="shared" si="0"/>
        <v>-22</v>
      </c>
      <c r="D38" s="3" t="s">
        <v>43</v>
      </c>
      <c r="G38" s="14">
        <f>+SUM(G37,G36,G24:G25,G20,G17:G18)</f>
        <v>52340879.959752083</v>
      </c>
      <c r="I38" s="14">
        <f>+SUM(I37,I36,I24:I25,I20,I17:I18)</f>
        <v>55940397.996821567</v>
      </c>
      <c r="L38" s="19" t="s">
        <v>109</v>
      </c>
      <c r="O38" s="66">
        <f>+O37/O26</f>
        <v>4.8495352599318996E-2</v>
      </c>
    </row>
    <row r="39" spans="3:15">
      <c r="L39" s="19" t="s">
        <v>110</v>
      </c>
      <c r="O39" s="66">
        <f>+O37-O35</f>
        <v>1.7625526529190264E-2</v>
      </c>
    </row>
    <row r="40" spans="3:15">
      <c r="C40" s="43" t="s">
        <v>45</v>
      </c>
      <c r="D40" s="44" t="s">
        <v>46</v>
      </c>
      <c r="E40" s="44" t="s">
        <v>46</v>
      </c>
      <c r="F40" s="44" t="s">
        <v>46</v>
      </c>
      <c r="G40" s="44" t="s">
        <v>46</v>
      </c>
      <c r="H40" s="44" t="s">
        <v>46</v>
      </c>
      <c r="I40" s="45" t="s">
        <v>47</v>
      </c>
      <c r="L40" s="19" t="s">
        <v>111</v>
      </c>
      <c r="O40" s="66">
        <f>+O38-O36</f>
        <v>1.7348251814160241E-2</v>
      </c>
    </row>
    <row r="41" spans="3:15">
      <c r="L41" s="19" t="s">
        <v>112</v>
      </c>
      <c r="O41" s="66">
        <f>+O42*$O$29</f>
        <v>4.9085961184976754E-2</v>
      </c>
    </row>
    <row r="42" spans="3:15">
      <c r="L42" s="19" t="s">
        <v>113</v>
      </c>
      <c r="O42" s="66">
        <f>+($O$35*$E$30)/(($E$29*$O$30)+($E$27*$O$29)+$E$28)</f>
        <v>3.7906252803293627E-2</v>
      </c>
    </row>
    <row r="43" spans="3:15">
      <c r="L43" s="19" t="s">
        <v>114</v>
      </c>
      <c r="O43" s="66">
        <f>+O42*$O$30</f>
        <v>2.6331444675263355E-2</v>
      </c>
    </row>
    <row r="44" spans="3:15">
      <c r="L44" s="19" t="s">
        <v>115</v>
      </c>
      <c r="O44" s="66">
        <f>+O45*$O$31</f>
        <v>3.6716230446650247E-2</v>
      </c>
    </row>
    <row r="45" spans="3:15">
      <c r="L45" s="19" t="s">
        <v>116</v>
      </c>
      <c r="O45" s="66">
        <f>+(O36*$E$35)/(($E$34*$O$32)+($E$32*$O$31)+$E$33)</f>
        <v>3.1920386679011065E-2</v>
      </c>
    </row>
    <row r="46" spans="3:15">
      <c r="L46" s="39" t="s">
        <v>117</v>
      </c>
      <c r="M46" s="25"/>
      <c r="N46" s="25"/>
      <c r="O46" s="67">
        <f>+O45*$O$32</f>
        <v>2.8505624434316788E-2</v>
      </c>
    </row>
    <row r="48" spans="3:15">
      <c r="L48" s="41" t="s">
        <v>44</v>
      </c>
      <c r="M48" s="6"/>
      <c r="N48" s="6"/>
      <c r="O48" s="42">
        <v>0</v>
      </c>
    </row>
    <row r="50" spans="12:15">
      <c r="L50" s="41" t="s">
        <v>55</v>
      </c>
      <c r="M50" s="6"/>
      <c r="N50" s="6"/>
      <c r="O50" s="49">
        <v>-9.9999999999999995E-7</v>
      </c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6D3EB-E223-43BC-A724-E3765484F96F}">
  <sheetPr>
    <tabColor theme="3"/>
    <pageSetUpPr fitToPage="1"/>
  </sheetPr>
  <dimension ref="C3:O56"/>
  <sheetViews>
    <sheetView showGridLines="0" view="pageBreakPreview" topLeftCell="A7" zoomScaleNormal="9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88</v>
      </c>
      <c r="D9" s="2"/>
      <c r="E9" s="2"/>
      <c r="F9" s="2"/>
      <c r="G9" s="2"/>
      <c r="H9" s="2"/>
      <c r="I9" s="2"/>
    </row>
    <row r="10" spans="3:9">
      <c r="C10" s="2" t="s">
        <v>120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v>68</v>
      </c>
      <c r="F17" s="13">
        <v>340</v>
      </c>
      <c r="G17" s="14">
        <f>+F17*$E17</f>
        <v>23120</v>
      </c>
      <c r="H17" s="13">
        <v>360</v>
      </c>
      <c r="I17" s="14">
        <f>+H17*$E17</f>
        <v>24480</v>
      </c>
      <c r="L17" s="15" t="str">
        <f>+_xlfn.CONCAT(C9,", ",C10)</f>
        <v>Large General Service, Schedule 9 Transmission Service</v>
      </c>
      <c r="M17" s="16"/>
      <c r="N17" s="16"/>
      <c r="O17" s="17"/>
    </row>
    <row r="18" spans="3:15">
      <c r="C18" s="12">
        <f t="shared" ref="C18:C38" si="0">+C17-1</f>
        <v>-2</v>
      </c>
      <c r="D18" s="3" t="s">
        <v>22</v>
      </c>
      <c r="E18" s="8">
        <v>0</v>
      </c>
      <c r="F18" s="18">
        <v>50</v>
      </c>
      <c r="G18" s="8">
        <f>+F18*$E18</f>
        <v>0</v>
      </c>
      <c r="H18" s="18">
        <f>F18</f>
        <v>50</v>
      </c>
      <c r="I18" s="8">
        <f>+H18*$E18</f>
        <v>0</v>
      </c>
      <c r="L18" s="19" t="s">
        <v>23</v>
      </c>
      <c r="O18" s="20">
        <f>+I38</f>
        <v>348351.62699978461</v>
      </c>
    </row>
    <row r="19" spans="3:15">
      <c r="C19" s="12">
        <f t="shared" si="0"/>
        <v>-3</v>
      </c>
      <c r="D19" s="21" t="s">
        <v>90</v>
      </c>
      <c r="L19" s="19" t="s">
        <v>25</v>
      </c>
      <c r="O19" s="20">
        <f>+G38*(1+O23)</f>
        <v>348351.85602197272</v>
      </c>
    </row>
    <row r="20" spans="3:15">
      <c r="C20" s="12">
        <f t="shared" si="0"/>
        <v>-4</v>
      </c>
      <c r="D20" s="22" t="s">
        <v>91</v>
      </c>
      <c r="E20" s="8">
        <v>18439.370530550899</v>
      </c>
      <c r="F20" s="13">
        <v>1.0900000000000001</v>
      </c>
      <c r="G20" s="14">
        <f>+F20*$E20</f>
        <v>20098.913878300482</v>
      </c>
      <c r="H20" s="13">
        <v>0.96</v>
      </c>
      <c r="I20" s="14">
        <f>+H20*$E20</f>
        <v>17701.795709328864</v>
      </c>
      <c r="L20" s="24" t="s">
        <v>27</v>
      </c>
      <c r="M20" s="25"/>
      <c r="N20" s="25"/>
      <c r="O20" s="26">
        <f>+O18-O19</f>
        <v>-0.2290221881121397</v>
      </c>
    </row>
    <row r="21" spans="3:15">
      <c r="C21" s="12">
        <f t="shared" si="0"/>
        <v>-5</v>
      </c>
      <c r="D21" s="21" t="s">
        <v>92</v>
      </c>
      <c r="E21" s="8"/>
      <c r="F21" s="27"/>
      <c r="G21" s="8"/>
      <c r="H21" s="27"/>
      <c r="I21" s="8"/>
    </row>
    <row r="22" spans="3:15">
      <c r="C22" s="12">
        <f t="shared" si="0"/>
        <v>-6</v>
      </c>
      <c r="D22" s="22" t="s">
        <v>93</v>
      </c>
      <c r="E22" s="8">
        <v>5574.7395047258206</v>
      </c>
      <c r="F22" s="13">
        <v>7.38</v>
      </c>
      <c r="G22" s="14">
        <f>+F22*$E22</f>
        <v>41141.577544876556</v>
      </c>
      <c r="H22" s="13">
        <v>8.6300000000000008</v>
      </c>
      <c r="I22" s="14">
        <f>+H22*$E22</f>
        <v>48110.001925783836</v>
      </c>
      <c r="L22" s="30" t="s">
        <v>30</v>
      </c>
      <c r="M22" s="16"/>
      <c r="N22" s="16"/>
      <c r="O22" s="31">
        <f>+O18/G38-1</f>
        <v>6.8770291838711195E-2</v>
      </c>
    </row>
    <row r="23" spans="3:15" ht="14.25">
      <c r="C23" s="12">
        <f t="shared" si="0"/>
        <v>-7</v>
      </c>
      <c r="D23" s="22" t="s">
        <v>94</v>
      </c>
      <c r="E23" s="28">
        <v>8872.8410633292315</v>
      </c>
      <c r="F23" s="18">
        <v>6.46</v>
      </c>
      <c r="G23" s="28">
        <f>+F23*$E23</f>
        <v>57318.553269106837</v>
      </c>
      <c r="H23" s="18">
        <v>8.44</v>
      </c>
      <c r="I23" s="28">
        <f>+H23*$E23</f>
        <v>74886.778574498705</v>
      </c>
      <c r="L23" s="19" t="s">
        <v>25</v>
      </c>
      <c r="O23" s="32">
        <v>6.8770994496864205E-2</v>
      </c>
    </row>
    <row r="24" spans="3:15">
      <c r="C24" s="12">
        <f t="shared" si="0"/>
        <v>-8</v>
      </c>
      <c r="D24" s="61" t="s">
        <v>95</v>
      </c>
      <c r="E24" s="8">
        <f>+SUM(E22:E23)</f>
        <v>14447.580568055051</v>
      </c>
      <c r="F24" s="23"/>
      <c r="G24" s="14">
        <f>+SUM(G22:G23)</f>
        <v>98460.130813983385</v>
      </c>
      <c r="H24" s="27"/>
      <c r="I24" s="14">
        <f>+SUM(I22:I23)</f>
        <v>122996.78050028253</v>
      </c>
      <c r="L24" s="19" t="s">
        <v>33</v>
      </c>
      <c r="O24" s="34">
        <f>O35/O36</f>
        <v>1.0159828620197742</v>
      </c>
    </row>
    <row r="25" spans="3:15">
      <c r="C25" s="12">
        <f t="shared" si="0"/>
        <v>-9</v>
      </c>
      <c r="D25" s="61" t="s">
        <v>119</v>
      </c>
      <c r="E25" s="8">
        <v>3731.200517679069</v>
      </c>
      <c r="F25" s="13">
        <v>1.59</v>
      </c>
      <c r="G25" s="14">
        <f>+F25*$E25</f>
        <v>5932.6088231097201</v>
      </c>
      <c r="H25" s="13">
        <v>2.1</v>
      </c>
      <c r="I25" s="14">
        <f>+H25*$E25</f>
        <v>7835.5210871260451</v>
      </c>
      <c r="L25" s="19" t="s">
        <v>34</v>
      </c>
      <c r="O25" s="34">
        <f>+F30/F35</f>
        <v>1.0882680522275461</v>
      </c>
    </row>
    <row r="26" spans="3:15" ht="14.25">
      <c r="C26" s="12">
        <f t="shared" si="0"/>
        <v>-10</v>
      </c>
      <c r="D26" s="33" t="s">
        <v>24</v>
      </c>
      <c r="E26" s="28"/>
      <c r="F26" s="29"/>
      <c r="G26" s="28"/>
      <c r="H26" s="29"/>
      <c r="I26" s="28"/>
      <c r="L26" s="39" t="s">
        <v>35</v>
      </c>
      <c r="M26" s="25"/>
      <c r="N26" s="25"/>
      <c r="O26" s="40">
        <f>I09P!O26</f>
        <v>1.0159828620197742</v>
      </c>
    </row>
    <row r="27" spans="3:15">
      <c r="C27" s="12">
        <f t="shared" si="0"/>
        <v>-11</v>
      </c>
      <c r="D27" s="22" t="s">
        <v>66</v>
      </c>
      <c r="E27" s="8">
        <v>135602.87140714441</v>
      </c>
      <c r="F27" s="23">
        <v>5.3304999999999998E-2</v>
      </c>
      <c r="G27" s="14">
        <f>+F27*$E27</f>
        <v>7228.3110603578325</v>
      </c>
      <c r="H27" s="23">
        <v>6.8459999999999993E-2</v>
      </c>
      <c r="I27" s="14">
        <f>+H27*$E27</f>
        <v>9283.3725765331055</v>
      </c>
      <c r="O27" s="18"/>
    </row>
    <row r="28" spans="3:15">
      <c r="C28" s="12">
        <f t="shared" si="0"/>
        <v>-12</v>
      </c>
      <c r="D28" s="22" t="s">
        <v>67</v>
      </c>
      <c r="E28" s="8">
        <v>213681.40213896794</v>
      </c>
      <c r="F28" s="27">
        <v>5.3304999999999998E-2</v>
      </c>
      <c r="G28" s="8">
        <f>+F28*$E28</f>
        <v>11390.287141017685</v>
      </c>
      <c r="H28" s="27">
        <v>5.6890999999999997E-2</v>
      </c>
      <c r="I28" s="8">
        <f>+H28*$E28</f>
        <v>12156.548649088025</v>
      </c>
      <c r="L28" s="15" t="s">
        <v>100</v>
      </c>
      <c r="M28" s="16"/>
      <c r="N28" s="16"/>
      <c r="O28" s="62"/>
    </row>
    <row r="29" spans="3:15" ht="14.25">
      <c r="C29" s="12">
        <f t="shared" si="0"/>
        <v>-13</v>
      </c>
      <c r="D29" s="22" t="s">
        <v>68</v>
      </c>
      <c r="E29" s="28">
        <v>958525.72645388753</v>
      </c>
      <c r="F29" s="29">
        <v>4.7647999999999996E-2</v>
      </c>
      <c r="G29" s="28">
        <f>+F29*$E29</f>
        <v>45671.833814074831</v>
      </c>
      <c r="H29" s="29">
        <v>4.4914000000000003E-2</v>
      </c>
      <c r="I29" s="28">
        <f>+H29*$E29</f>
        <v>43051.224477949909</v>
      </c>
      <c r="L29" s="19" t="s">
        <v>101</v>
      </c>
      <c r="O29" s="63">
        <v>1.29493045486975</v>
      </c>
    </row>
    <row r="30" spans="3:15">
      <c r="C30" s="12">
        <f t="shared" si="0"/>
        <v>-14</v>
      </c>
      <c r="D30" s="61" t="s">
        <v>31</v>
      </c>
      <c r="E30" s="8">
        <f>+SUM(E27:E29)</f>
        <v>1307810</v>
      </c>
      <c r="F30" s="23">
        <f>+G30/$E30</f>
        <v>4.9158847244974692E-2</v>
      </c>
      <c r="G30" s="14">
        <f>+SUM(G27:G29)</f>
        <v>64290.432015450351</v>
      </c>
      <c r="H30" s="23">
        <f>+I30/$E30</f>
        <v>4.9312320370368048E-2</v>
      </c>
      <c r="I30" s="14">
        <f>+SUM(I27:I29)</f>
        <v>64491.145703571041</v>
      </c>
      <c r="L30" s="19" t="s">
        <v>102</v>
      </c>
      <c r="O30" s="63">
        <v>0.69464646932802199</v>
      </c>
    </row>
    <row r="31" spans="3:15">
      <c r="C31" s="12">
        <f t="shared" si="0"/>
        <v>-15</v>
      </c>
      <c r="D31" s="33" t="s">
        <v>32</v>
      </c>
      <c r="E31" s="8"/>
      <c r="F31" s="23"/>
      <c r="G31" s="14"/>
      <c r="H31" s="23"/>
      <c r="I31" s="14"/>
      <c r="L31" s="19" t="s">
        <v>103</v>
      </c>
      <c r="O31" s="63">
        <v>1.1502439120135297</v>
      </c>
    </row>
    <row r="32" spans="3:15">
      <c r="C32" s="12">
        <f t="shared" si="0"/>
        <v>-16</v>
      </c>
      <c r="D32" s="22" t="s">
        <v>66</v>
      </c>
      <c r="E32" s="8">
        <v>510119.66524396028</v>
      </c>
      <c r="F32" s="23">
        <v>4.8078999999999997E-2</v>
      </c>
      <c r="G32" s="14">
        <f>+F32*$E32</f>
        <v>24526.043385264365</v>
      </c>
      <c r="H32" s="23">
        <v>5.4073000000000003E-2</v>
      </c>
      <c r="I32" s="14">
        <f>+H32*$E32</f>
        <v>27583.700658736667</v>
      </c>
      <c r="L32" s="39" t="s">
        <v>104</v>
      </c>
      <c r="M32" s="25"/>
      <c r="N32" s="25"/>
      <c r="O32" s="64">
        <v>0.89302252886116762</v>
      </c>
    </row>
    <row r="33" spans="3:15">
      <c r="C33" s="12">
        <f t="shared" si="0"/>
        <v>-17</v>
      </c>
      <c r="D33" s="22" t="s">
        <v>67</v>
      </c>
      <c r="E33" s="8">
        <v>558665.92774909781</v>
      </c>
      <c r="F33" s="27">
        <v>4.5663000000000002E-2</v>
      </c>
      <c r="G33" s="8">
        <f>+F33*$E33</f>
        <v>25510.362258807054</v>
      </c>
      <c r="H33" s="27">
        <v>4.9281999999999999E-2</v>
      </c>
      <c r="I33" s="8">
        <f>+H33*$E33</f>
        <v>27532.174251331038</v>
      </c>
    </row>
    <row r="34" spans="3:15" ht="14.25">
      <c r="C34" s="12">
        <f t="shared" si="0"/>
        <v>-18</v>
      </c>
      <c r="D34" s="22" t="s">
        <v>68</v>
      </c>
      <c r="E34" s="28">
        <v>1214966.407006942</v>
      </c>
      <c r="F34" s="29">
        <v>4.3725E-2</v>
      </c>
      <c r="G34" s="28">
        <f>+F34*$E34</f>
        <v>53124.40614637854</v>
      </c>
      <c r="H34" s="29">
        <v>4.5870000000000001E-2</v>
      </c>
      <c r="I34" s="28">
        <f>+H34*$E34</f>
        <v>55730.509089408428</v>
      </c>
      <c r="L34" s="15" t="s">
        <v>105</v>
      </c>
      <c r="M34" s="16"/>
      <c r="N34" s="16"/>
      <c r="O34" s="17"/>
    </row>
    <row r="35" spans="3:15" ht="14.25">
      <c r="C35" s="12">
        <f t="shared" si="0"/>
        <v>-19</v>
      </c>
      <c r="D35" s="61" t="s">
        <v>37</v>
      </c>
      <c r="E35" s="28">
        <f>+SUM(E32:E34)</f>
        <v>2283752</v>
      </c>
      <c r="F35" s="23">
        <f>+G35/$E35</f>
        <v>4.5171635006975346E-2</v>
      </c>
      <c r="G35" s="35">
        <f>+SUM(G32:G34)</f>
        <v>103160.81179044995</v>
      </c>
      <c r="H35" s="23">
        <f>+I35/$E35</f>
        <v>4.8536961981632043E-2</v>
      </c>
      <c r="I35" s="35">
        <f>+SUM(I32:I34)</f>
        <v>110846.38399947614</v>
      </c>
      <c r="L35" s="19" t="s">
        <v>106</v>
      </c>
      <c r="O35" s="65">
        <v>3.1644920599323945E-2</v>
      </c>
    </row>
    <row r="36" spans="3:15">
      <c r="C36" s="12">
        <f t="shared" si="0"/>
        <v>-20</v>
      </c>
      <c r="D36" s="61" t="s">
        <v>39</v>
      </c>
      <c r="E36" s="8">
        <f>+SUM(E35,E30)</f>
        <v>3591562</v>
      </c>
      <c r="F36" s="23"/>
      <c r="G36" s="14">
        <f>+SUM(G35,G30)</f>
        <v>167451.2438059003</v>
      </c>
      <c r="H36" s="23"/>
      <c r="I36" s="14">
        <f>+SUM(I35,I30)</f>
        <v>175337.52970304718</v>
      </c>
      <c r="L36" s="19" t="s">
        <v>107</v>
      </c>
      <c r="O36" s="66">
        <v>3.1147100785158754E-2</v>
      </c>
    </row>
    <row r="37" spans="3:15">
      <c r="C37" s="12">
        <f t="shared" si="0"/>
        <v>-21</v>
      </c>
      <c r="D37" s="3" t="s">
        <v>41</v>
      </c>
      <c r="G37" s="38">
        <v>10873.95708030151</v>
      </c>
      <c r="L37" s="19" t="s">
        <v>108</v>
      </c>
      <c r="O37" s="66">
        <f>(O19-I17-I18-I20-I24-I25)/(SUM(E27:E29)+(SUM(E32:E34))/O26)</f>
        <v>4.9312638400473306E-2</v>
      </c>
    </row>
    <row r="38" spans="3:15">
      <c r="C38" s="12">
        <f t="shared" si="0"/>
        <v>-22</v>
      </c>
      <c r="D38" s="3" t="s">
        <v>43</v>
      </c>
      <c r="G38" s="14">
        <f>+SUM(G37,G36,G24:G25,G20,G17:G18)</f>
        <v>325936.85440159537</v>
      </c>
      <c r="I38" s="14">
        <f>+SUM(I37,I36,I24:I25,I20,I17:I18)</f>
        <v>348351.62699978461</v>
      </c>
      <c r="L38" s="19" t="s">
        <v>109</v>
      </c>
      <c r="O38" s="66">
        <f>+O37/O26</f>
        <v>4.8536880142288789E-2</v>
      </c>
    </row>
    <row r="39" spans="3:15">
      <c r="L39" s="19" t="s">
        <v>110</v>
      </c>
      <c r="O39" s="66">
        <f>+O37-O35</f>
        <v>1.7667717801149362E-2</v>
      </c>
    </row>
    <row r="40" spans="3:15">
      <c r="C40" s="43" t="s">
        <v>45</v>
      </c>
      <c r="D40" s="44" t="s">
        <v>46</v>
      </c>
      <c r="E40" s="44" t="s">
        <v>46</v>
      </c>
      <c r="F40" s="44" t="s">
        <v>46</v>
      </c>
      <c r="G40" s="44" t="s">
        <v>46</v>
      </c>
      <c r="H40" s="44" t="s">
        <v>46</v>
      </c>
      <c r="I40" s="45" t="s">
        <v>47</v>
      </c>
      <c r="L40" s="19" t="s">
        <v>111</v>
      </c>
      <c r="O40" s="66">
        <f>+O38-O36</f>
        <v>1.7389779357130035E-2</v>
      </c>
    </row>
    <row r="41" spans="3:15">
      <c r="L41" s="19" t="s">
        <v>112</v>
      </c>
      <c r="O41" s="66">
        <f>+O42*O29</f>
        <v>5.0792038172367625E-2</v>
      </c>
    </row>
    <row r="42" spans="3:15">
      <c r="L42" s="19" t="s">
        <v>113</v>
      </c>
      <c r="O42" s="66">
        <f>+(O35*E30)/((E29*O30)+(E27*O29)+E28)</f>
        <v>3.9223757524087667E-2</v>
      </c>
    </row>
    <row r="43" spans="3:15">
      <c r="L43" s="19" t="s">
        <v>114</v>
      </c>
      <c r="O43" s="66">
        <f>+O42*O30</f>
        <v>2.7246644677885935E-2</v>
      </c>
    </row>
    <row r="44" spans="3:15">
      <c r="L44" s="19" t="s">
        <v>115</v>
      </c>
      <c r="O44" s="66">
        <f>+O45*O31</f>
        <v>3.66834180534506E-2</v>
      </c>
    </row>
    <row r="45" spans="3:15">
      <c r="L45" s="19" t="s">
        <v>116</v>
      </c>
      <c r="O45" s="66">
        <f>+(O36*E35)/((E34*O32)+(E32*O31)+E33)</f>
        <v>3.189186021357452E-2</v>
      </c>
    </row>
    <row r="46" spans="3:15">
      <c r="L46" s="39" t="s">
        <v>117</v>
      </c>
      <c r="M46" s="25"/>
      <c r="N46" s="25"/>
      <c r="O46" s="67">
        <f>+O45*O32</f>
        <v>2.8480149658013175E-2</v>
      </c>
    </row>
    <row r="48" spans="3:15">
      <c r="L48" s="41" t="s">
        <v>44</v>
      </c>
      <c r="M48" s="6"/>
      <c r="N48" s="6"/>
      <c r="O48" s="42">
        <v>0</v>
      </c>
    </row>
    <row r="50" spans="12:15">
      <c r="L50" s="41" t="s">
        <v>55</v>
      </c>
      <c r="M50" s="6"/>
      <c r="N50" s="6"/>
      <c r="O50" s="49">
        <v>0</v>
      </c>
    </row>
    <row r="52" spans="12:15">
      <c r="O52" s="14"/>
    </row>
    <row r="53" spans="12:15">
      <c r="O53" s="14"/>
    </row>
    <row r="54" spans="12:15">
      <c r="O54" s="14"/>
    </row>
    <row r="55" spans="12:15">
      <c r="O55" s="8"/>
    </row>
    <row r="56" spans="12:15">
      <c r="O56" s="14"/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A5857-8F2B-463F-8C98-D147E6863380}">
  <sheetPr>
    <tabColor theme="3"/>
    <pageSetUpPr fitToPage="1"/>
  </sheetPr>
  <dimension ref="C3:O50"/>
  <sheetViews>
    <sheetView showGridLines="0" view="pageBreakPreview" topLeftCell="A10" zoomScaleNormal="9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121</v>
      </c>
      <c r="D9" s="2"/>
      <c r="E9" s="2"/>
      <c r="F9" s="2"/>
      <c r="G9" s="2"/>
      <c r="H9" s="2"/>
      <c r="I9" s="2"/>
    </row>
    <row r="10" spans="3:9">
      <c r="C10" s="2" t="s">
        <v>122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v>12</v>
      </c>
      <c r="F17" s="13">
        <v>85</v>
      </c>
      <c r="G17" s="14">
        <f>+F17*$E17</f>
        <v>1020</v>
      </c>
      <c r="H17" s="13">
        <v>125</v>
      </c>
      <c r="I17" s="14">
        <f>+H17*$E17</f>
        <v>1500</v>
      </c>
      <c r="L17" s="15" t="str">
        <f>+_xlfn.CONCAT(C9,", ",C10)</f>
        <v>Large Power Service, Schedule 19 Secondary Service</v>
      </c>
      <c r="M17" s="16"/>
      <c r="N17" s="16"/>
      <c r="O17" s="17"/>
    </row>
    <row r="18" spans="3:15">
      <c r="C18" s="12">
        <f t="shared" ref="C18:C38" si="0">+C17-1</f>
        <v>-2</v>
      </c>
      <c r="D18" s="3" t="s">
        <v>22</v>
      </c>
      <c r="E18" s="8">
        <v>0</v>
      </c>
      <c r="F18" s="18">
        <v>3</v>
      </c>
      <c r="G18" s="8">
        <f>+F18*$E18</f>
        <v>0</v>
      </c>
      <c r="H18" s="18">
        <f>F18</f>
        <v>3</v>
      </c>
      <c r="I18" s="8">
        <f>+H18*$E18</f>
        <v>0</v>
      </c>
      <c r="L18" s="19" t="s">
        <v>23</v>
      </c>
      <c r="O18" s="20">
        <f>+I38</f>
        <v>563763.59082290193</v>
      </c>
    </row>
    <row r="19" spans="3:15">
      <c r="C19" s="12">
        <f t="shared" si="0"/>
        <v>-3</v>
      </c>
      <c r="D19" s="21" t="s">
        <v>90</v>
      </c>
      <c r="L19" s="19" t="s">
        <v>25</v>
      </c>
      <c r="O19" s="20">
        <f>+G38*(1+O23)</f>
        <v>563764.94354039885</v>
      </c>
    </row>
    <row r="20" spans="3:15">
      <c r="C20" s="12">
        <f t="shared" si="0"/>
        <v>-4</v>
      </c>
      <c r="D20" s="22" t="s">
        <v>91</v>
      </c>
      <c r="E20" s="8">
        <v>14299.898746705016</v>
      </c>
      <c r="F20" s="13">
        <v>2.0099999999999998</v>
      </c>
      <c r="G20" s="14">
        <f>+F20*$E20</f>
        <v>28742.796480877078</v>
      </c>
      <c r="H20" s="13">
        <v>2.4700000000000002</v>
      </c>
      <c r="I20" s="14">
        <f>+H20*$E20</f>
        <v>35320.749904361393</v>
      </c>
      <c r="L20" s="24" t="s">
        <v>27</v>
      </c>
      <c r="M20" s="25"/>
      <c r="N20" s="25"/>
      <c r="O20" s="26">
        <f>+O18-O19</f>
        <v>-1.352717496920377</v>
      </c>
    </row>
    <row r="21" spans="3:15">
      <c r="C21" s="12">
        <f t="shared" si="0"/>
        <v>-5</v>
      </c>
      <c r="D21" s="21" t="s">
        <v>92</v>
      </c>
      <c r="E21" s="8"/>
      <c r="F21" s="27"/>
      <c r="G21" s="8"/>
      <c r="H21" s="27"/>
      <c r="I21" s="8"/>
    </row>
    <row r="22" spans="3:15">
      <c r="C22" s="12">
        <f t="shared" si="0"/>
        <v>-6</v>
      </c>
      <c r="D22" s="22" t="s">
        <v>93</v>
      </c>
      <c r="E22" s="8">
        <v>4155.1062354411715</v>
      </c>
      <c r="F22" s="13">
        <v>10.5</v>
      </c>
      <c r="G22" s="14">
        <f>+F22*$E22</f>
        <v>43628.615472132304</v>
      </c>
      <c r="H22" s="13">
        <v>13.99</v>
      </c>
      <c r="I22" s="14">
        <f>+H22*$E22</f>
        <v>58129.936233821987</v>
      </c>
      <c r="L22" s="30" t="s">
        <v>30</v>
      </c>
      <c r="M22" s="16"/>
      <c r="N22" s="16"/>
      <c r="O22" s="31">
        <f>+O18/G38-1</f>
        <v>9.9739733947310061E-2</v>
      </c>
    </row>
    <row r="23" spans="3:15" ht="14.25">
      <c r="C23" s="12">
        <f t="shared" si="0"/>
        <v>-7</v>
      </c>
      <c r="D23" s="22" t="s">
        <v>94</v>
      </c>
      <c r="E23" s="28">
        <v>8539.9844959181555</v>
      </c>
      <c r="F23" s="18">
        <v>8.4499999999999993</v>
      </c>
      <c r="G23" s="28">
        <f>+F23*$E23</f>
        <v>72162.868990508403</v>
      </c>
      <c r="H23" s="18">
        <v>12.01</v>
      </c>
      <c r="I23" s="28">
        <f>+H23*$E23</f>
        <v>102565.21379597705</v>
      </c>
      <c r="L23" s="19" t="s">
        <v>25</v>
      </c>
      <c r="O23" s="32">
        <v>9.9742372707961491E-2</v>
      </c>
    </row>
    <row r="24" spans="3:15">
      <c r="C24" s="12">
        <f t="shared" si="0"/>
        <v>-8</v>
      </c>
      <c r="D24" s="61" t="s">
        <v>95</v>
      </c>
      <c r="E24" s="8">
        <f>+SUM(E22:E23)</f>
        <v>12695.090731359327</v>
      </c>
      <c r="F24" s="23"/>
      <c r="G24" s="14">
        <f>+SUM(G22:G23)</f>
        <v>115791.48446264071</v>
      </c>
      <c r="H24" s="27"/>
      <c r="I24" s="14">
        <f>+SUM(I22:I23)</f>
        <v>160695.15002979903</v>
      </c>
      <c r="L24" s="19" t="s">
        <v>33</v>
      </c>
      <c r="O24" s="34">
        <f>O35/O36</f>
        <v>1.0147795927618393</v>
      </c>
    </row>
    <row r="25" spans="3:15">
      <c r="C25" s="12">
        <f t="shared" si="0"/>
        <v>-9</v>
      </c>
      <c r="D25" s="61" t="s">
        <v>119</v>
      </c>
      <c r="E25" s="8">
        <v>3810.7497455691582</v>
      </c>
      <c r="F25" s="13">
        <v>1.82</v>
      </c>
      <c r="G25" s="14">
        <f>+F25*$E25</f>
        <v>6935.5645369358681</v>
      </c>
      <c r="H25" s="13">
        <v>2.42</v>
      </c>
      <c r="I25" s="14">
        <f>+H25*$E25</f>
        <v>9222.0143842773632</v>
      </c>
      <c r="L25" s="19" t="s">
        <v>34</v>
      </c>
      <c r="O25" s="34">
        <f>+F30/F35</f>
        <v>1.096050296640233</v>
      </c>
    </row>
    <row r="26" spans="3:15" ht="14.25">
      <c r="C26" s="12">
        <f t="shared" si="0"/>
        <v>-10</v>
      </c>
      <c r="D26" s="33" t="s">
        <v>24</v>
      </c>
      <c r="E26" s="28"/>
      <c r="F26" s="29"/>
      <c r="G26" s="28"/>
      <c r="H26" s="29"/>
      <c r="I26" s="28"/>
      <c r="L26" s="39" t="s">
        <v>35</v>
      </c>
      <c r="M26" s="25"/>
      <c r="N26" s="25"/>
      <c r="O26" s="40">
        <f>O24</f>
        <v>1.0147795927618393</v>
      </c>
    </row>
    <row r="27" spans="3:15">
      <c r="C27" s="12">
        <f t="shared" si="0"/>
        <v>-11</v>
      </c>
      <c r="D27" s="22" t="s">
        <v>66</v>
      </c>
      <c r="E27" s="8">
        <v>306402</v>
      </c>
      <c r="F27" s="23">
        <v>5.9941000000000001E-2</v>
      </c>
      <c r="G27" s="14">
        <f>+F27*$E27</f>
        <v>18366.042282000002</v>
      </c>
      <c r="H27" s="23">
        <v>7.3300000000000004E-2</v>
      </c>
      <c r="I27" s="14">
        <f>+H27*$E27</f>
        <v>22459.266600000003</v>
      </c>
      <c r="O27" s="18"/>
    </row>
    <row r="28" spans="3:15">
      <c r="C28" s="12">
        <f t="shared" si="0"/>
        <v>-12</v>
      </c>
      <c r="D28" s="22" t="s">
        <v>67</v>
      </c>
      <c r="E28" s="8">
        <v>387352</v>
      </c>
      <c r="F28" s="27">
        <v>5.9941000000000001E-2</v>
      </c>
      <c r="G28" s="8">
        <f>+F28*$E28</f>
        <v>23218.266232000002</v>
      </c>
      <c r="H28" s="27">
        <v>6.2087999999999997E-2</v>
      </c>
      <c r="I28" s="8">
        <f>+H28*$E28</f>
        <v>24049.910975999999</v>
      </c>
      <c r="L28" s="15" t="s">
        <v>100</v>
      </c>
      <c r="M28" s="16"/>
      <c r="N28" s="16"/>
      <c r="O28" s="62"/>
    </row>
    <row r="29" spans="3:15" ht="14.25">
      <c r="C29" s="12">
        <f t="shared" si="0"/>
        <v>-13</v>
      </c>
      <c r="D29" s="22" t="s">
        <v>68</v>
      </c>
      <c r="E29" s="28">
        <v>1413300</v>
      </c>
      <c r="F29" s="29">
        <v>5.4286999999999995E-2</v>
      </c>
      <c r="G29" s="28">
        <f>+F29*$E29</f>
        <v>76723.817099999986</v>
      </c>
      <c r="H29" s="29">
        <v>5.0472999999999997E-2</v>
      </c>
      <c r="I29" s="28">
        <f>+H29*$E29</f>
        <v>71333.49089999999</v>
      </c>
      <c r="L29" s="19" t="s">
        <v>101</v>
      </c>
      <c r="O29" s="63">
        <v>1.29493045486975</v>
      </c>
    </row>
    <row r="30" spans="3:15">
      <c r="C30" s="12">
        <f t="shared" si="0"/>
        <v>-14</v>
      </c>
      <c r="D30" s="61" t="s">
        <v>31</v>
      </c>
      <c r="E30" s="8">
        <f>+SUM(E27:E29)</f>
        <v>2107054</v>
      </c>
      <c r="F30" s="23">
        <f>+G30/$E30</f>
        <v>5.6148596862728717E-2</v>
      </c>
      <c r="G30" s="14">
        <f>+SUM(G27:G29)</f>
        <v>118308.12561399999</v>
      </c>
      <c r="H30" s="23">
        <f>+I30/$E30</f>
        <v>5.5927692634360579E-2</v>
      </c>
      <c r="I30" s="14">
        <f>+SUM(I27:I29)</f>
        <v>117842.66847599999</v>
      </c>
      <c r="L30" s="19" t="s">
        <v>102</v>
      </c>
      <c r="O30" s="63">
        <v>0.69464646932802199</v>
      </c>
    </row>
    <row r="31" spans="3:15">
      <c r="C31" s="12">
        <f t="shared" si="0"/>
        <v>-15</v>
      </c>
      <c r="D31" s="33" t="s">
        <v>32</v>
      </c>
      <c r="E31" s="8"/>
      <c r="F31" s="23"/>
      <c r="G31" s="14"/>
      <c r="H31" s="23"/>
      <c r="I31" s="14"/>
      <c r="L31" s="19" t="s">
        <v>103</v>
      </c>
      <c r="O31" s="63">
        <v>1.1502439120135297</v>
      </c>
    </row>
    <row r="32" spans="3:15">
      <c r="C32" s="12">
        <f t="shared" si="0"/>
        <v>-16</v>
      </c>
      <c r="D32" s="22" t="s">
        <v>66</v>
      </c>
      <c r="E32" s="8">
        <v>944370.72041361115</v>
      </c>
      <c r="F32" s="23">
        <v>5.4204000000000002E-2</v>
      </c>
      <c r="G32" s="14">
        <f>+F32*$E32</f>
        <v>51188.670529299379</v>
      </c>
      <c r="H32" s="23">
        <v>6.0833999999999999E-2</v>
      </c>
      <c r="I32" s="14">
        <f>+H32*$E32</f>
        <v>57449.84840564162</v>
      </c>
      <c r="L32" s="39" t="s">
        <v>104</v>
      </c>
      <c r="M32" s="25"/>
      <c r="N32" s="25"/>
      <c r="O32" s="64">
        <v>0.89302252886116762</v>
      </c>
    </row>
    <row r="33" spans="3:15">
      <c r="C33" s="12">
        <f t="shared" si="0"/>
        <v>-17</v>
      </c>
      <c r="D33" s="22" t="s">
        <v>67</v>
      </c>
      <c r="E33" s="8">
        <v>976851.08747813816</v>
      </c>
      <c r="F33" s="27">
        <v>5.1782999999999996E-2</v>
      </c>
      <c r="G33" s="8">
        <f>+F33*$E33</f>
        <v>50584.279862880423</v>
      </c>
      <c r="H33" s="27">
        <v>5.5983999999999999E-2</v>
      </c>
      <c r="I33" s="8">
        <f>+H33*$E33</f>
        <v>54688.031281376083</v>
      </c>
    </row>
    <row r="34" spans="3:15" ht="14.25">
      <c r="C34" s="12">
        <f t="shared" si="0"/>
        <v>-18</v>
      </c>
      <c r="D34" s="22" t="s">
        <v>68</v>
      </c>
      <c r="E34" s="28">
        <v>2418525.1921082507</v>
      </c>
      <c r="F34" s="29">
        <v>4.9841999999999997E-2</v>
      </c>
      <c r="G34" s="28">
        <f>+F34*$E34</f>
        <v>120544.13262505943</v>
      </c>
      <c r="H34" s="29">
        <v>5.253E-2</v>
      </c>
      <c r="I34" s="28">
        <f>+H34*$E34</f>
        <v>127045.12834144641</v>
      </c>
      <c r="L34" s="15" t="s">
        <v>105</v>
      </c>
      <c r="M34" s="16"/>
      <c r="N34" s="16"/>
      <c r="O34" s="17"/>
    </row>
    <row r="35" spans="3:15" ht="14.25">
      <c r="C35" s="12">
        <f t="shared" si="0"/>
        <v>-19</v>
      </c>
      <c r="D35" s="61" t="s">
        <v>37</v>
      </c>
      <c r="E35" s="28">
        <f>+SUM(E32:E34)</f>
        <v>4339747</v>
      </c>
      <c r="F35" s="23">
        <f>+G35/$E35</f>
        <v>5.122812067552307E-2</v>
      </c>
      <c r="G35" s="35">
        <f>+SUM(G32:G34)</f>
        <v>222317.08301723923</v>
      </c>
      <c r="H35" s="23">
        <f>+I35/$E35</f>
        <v>5.5114505068720392E-2</v>
      </c>
      <c r="I35" s="35">
        <f>+SUM(I32:I34)</f>
        <v>239183.0080284641</v>
      </c>
      <c r="L35" s="19" t="s">
        <v>106</v>
      </c>
      <c r="O35" s="65">
        <v>3.1879731519816851E-2</v>
      </c>
    </row>
    <row r="36" spans="3:15">
      <c r="C36" s="12">
        <f t="shared" si="0"/>
        <v>-20</v>
      </c>
      <c r="D36" s="61" t="s">
        <v>39</v>
      </c>
      <c r="E36" s="8">
        <f>+SUM(E35,E30)</f>
        <v>6446801</v>
      </c>
      <c r="F36" s="23"/>
      <c r="G36" s="14">
        <f>+SUM(G35,G30)</f>
        <v>340625.20863123925</v>
      </c>
      <c r="I36" s="14">
        <f>+SUM(I35,I30)</f>
        <v>357025.67650446412</v>
      </c>
      <c r="L36" s="19" t="s">
        <v>107</v>
      </c>
      <c r="O36" s="66">
        <v>3.1415424341607517E-2</v>
      </c>
    </row>
    <row r="37" spans="3:15" ht="14.25">
      <c r="C37" s="12">
        <f t="shared" si="0"/>
        <v>-21</v>
      </c>
      <c r="D37" s="3" t="s">
        <v>41</v>
      </c>
      <c r="G37" s="28">
        <v>19518.593123528808</v>
      </c>
      <c r="L37" s="19" t="s">
        <v>108</v>
      </c>
      <c r="O37" s="66">
        <f>(O19-I17-I18-I20-I24-I25)/(SUM(E27:E29)+(SUM(E32:E34))/O26)</f>
        <v>5.5928830629335458E-2</v>
      </c>
    </row>
    <row r="38" spans="3:15">
      <c r="C38" s="12">
        <f t="shared" si="0"/>
        <v>-22</v>
      </c>
      <c r="D38" s="3" t="s">
        <v>43</v>
      </c>
      <c r="G38" s="14">
        <f>+SUM(G37,G36,G24:G25,G20,G17:G18)</f>
        <v>512633.64723522175</v>
      </c>
      <c r="I38" s="14">
        <f>+SUM(I37,I36,I24:I25,I20,I17:I18)</f>
        <v>563763.59082290193</v>
      </c>
      <c r="L38" s="19" t="s">
        <v>109</v>
      </c>
      <c r="O38" s="66">
        <f>+O37/O26</f>
        <v>5.5114264248376059E-2</v>
      </c>
    </row>
    <row r="39" spans="3:15">
      <c r="L39" s="19" t="s">
        <v>110</v>
      </c>
      <c r="O39" s="66">
        <v>2.4049000000000001E-2</v>
      </c>
    </row>
    <row r="40" spans="3:15">
      <c r="C40" s="43" t="s">
        <v>45</v>
      </c>
      <c r="D40" s="44" t="s">
        <v>46</v>
      </c>
      <c r="E40" s="44" t="s">
        <v>46</v>
      </c>
      <c r="F40" s="44" t="s">
        <v>46</v>
      </c>
      <c r="G40" s="44" t="s">
        <v>46</v>
      </c>
      <c r="H40" s="44" t="s">
        <v>46</v>
      </c>
      <c r="I40" s="45" t="s">
        <v>47</v>
      </c>
      <c r="L40" s="19" t="s">
        <v>111</v>
      </c>
      <c r="O40" s="66">
        <v>2.3699000000000001E-2</v>
      </c>
    </row>
    <row r="41" spans="3:15">
      <c r="L41" s="19" t="s">
        <v>112</v>
      </c>
      <c r="O41" s="66">
        <f>+O42*O29</f>
        <v>4.9258278951646244E-2</v>
      </c>
    </row>
    <row r="42" spans="3:15">
      <c r="L42" s="19" t="s">
        <v>113</v>
      </c>
      <c r="O42" s="66">
        <f>+(O35*E30)/((E29*O30)+(E27*O29)+E28)</f>
        <v>3.8039323862068611E-2</v>
      </c>
    </row>
    <row r="43" spans="3:15">
      <c r="L43" s="19" t="s">
        <v>114</v>
      </c>
      <c r="O43" s="66">
        <f>+O42*O30</f>
        <v>2.6423882016411139E-2</v>
      </c>
    </row>
    <row r="44" spans="3:15">
      <c r="L44" s="19" t="s">
        <v>115</v>
      </c>
      <c r="O44" s="66">
        <f>+O45*O31</f>
        <v>3.7135215523240665E-2</v>
      </c>
    </row>
    <row r="45" spans="3:15">
      <c r="L45" s="19" t="s">
        <v>116</v>
      </c>
      <c r="O45" s="66">
        <f>+(O36*E35)/((E34*O32)+(E32*O31)+E33)</f>
        <v>3.2284644270130995E-2</v>
      </c>
    </row>
    <row r="46" spans="3:15">
      <c r="L46" s="39" t="s">
        <v>117</v>
      </c>
      <c r="M46" s="25"/>
      <c r="N46" s="25"/>
      <c r="O46" s="67">
        <f>+O45*O32</f>
        <v>2.8830914669495587E-2</v>
      </c>
    </row>
    <row r="48" spans="3:15">
      <c r="L48" s="41" t="s">
        <v>44</v>
      </c>
      <c r="M48" s="6"/>
      <c r="N48" s="6"/>
      <c r="O48" s="42">
        <v>0</v>
      </c>
    </row>
    <row r="50" spans="12:15">
      <c r="L50" s="41" t="s">
        <v>55</v>
      </c>
      <c r="M50" s="6"/>
      <c r="N50" s="6"/>
      <c r="O50" s="49">
        <v>-6.9999999999999999E-6</v>
      </c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45868-2FF8-46C2-985F-7BCED30256C6}">
  <sheetPr>
    <tabColor theme="3"/>
    <pageSetUpPr fitToPage="1"/>
  </sheetPr>
  <dimension ref="C3:O58"/>
  <sheetViews>
    <sheetView showGridLines="0" view="pageBreakPreview" topLeftCell="A10" zoomScaleNormal="10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121</v>
      </c>
      <c r="D9" s="2"/>
      <c r="E9" s="2"/>
      <c r="F9" s="2"/>
      <c r="G9" s="2"/>
      <c r="H9" s="2"/>
      <c r="I9" s="2"/>
    </row>
    <row r="10" spans="3:9">
      <c r="C10" s="2" t="s">
        <v>123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v>1560.0999999999997</v>
      </c>
      <c r="F17" s="13">
        <v>415</v>
      </c>
      <c r="G17" s="14">
        <f>+F17*$E17</f>
        <v>647441.49999999988</v>
      </c>
      <c r="H17" s="13">
        <v>490</v>
      </c>
      <c r="I17" s="14">
        <f>+H17*$E17</f>
        <v>764448.99999999988</v>
      </c>
      <c r="L17" s="15" t="str">
        <f>+_xlfn.CONCAT(C9,", ",C10)</f>
        <v>Large Power Service, Schedule 19 Primary Service</v>
      </c>
      <c r="M17" s="16"/>
      <c r="N17" s="16"/>
      <c r="O17" s="17"/>
    </row>
    <row r="18" spans="3:15">
      <c r="C18" s="12">
        <f t="shared" ref="C18:C51" si="0">+C17-1</f>
        <v>-2</v>
      </c>
      <c r="D18" s="3" t="s">
        <v>22</v>
      </c>
      <c r="E18" s="8">
        <v>0</v>
      </c>
      <c r="F18" s="18">
        <v>50</v>
      </c>
      <c r="G18" s="8">
        <f>+F18*$E18</f>
        <v>0</v>
      </c>
      <c r="H18" s="18">
        <v>50</v>
      </c>
      <c r="I18" s="8">
        <f>+H18*$E18</f>
        <v>0</v>
      </c>
      <c r="L18" s="19" t="s">
        <v>23</v>
      </c>
      <c r="O18" s="20">
        <f>+I51</f>
        <v>173068638.86360717</v>
      </c>
    </row>
    <row r="19" spans="3:15">
      <c r="C19" s="12">
        <f t="shared" si="0"/>
        <v>-3</v>
      </c>
      <c r="D19" s="21" t="s">
        <v>90</v>
      </c>
      <c r="L19" s="19" t="s">
        <v>25</v>
      </c>
      <c r="O19" s="20">
        <f>+G51*(1+O23)</f>
        <v>173068742.87319955</v>
      </c>
    </row>
    <row r="20" spans="3:15">
      <c r="C20" s="12">
        <f t="shared" si="0"/>
        <v>-4</v>
      </c>
      <c r="D20" s="22" t="s">
        <v>91</v>
      </c>
      <c r="E20" s="8">
        <v>4818509.7644133167</v>
      </c>
      <c r="F20" s="13">
        <v>2.21</v>
      </c>
      <c r="G20" s="14">
        <f>+F20*$E20</f>
        <v>10648906.579353429</v>
      </c>
      <c r="H20" s="13">
        <v>2.6</v>
      </c>
      <c r="I20" s="14">
        <f>+H20*$E20</f>
        <v>12528125.387474624</v>
      </c>
      <c r="L20" s="24" t="s">
        <v>27</v>
      </c>
      <c r="M20" s="25"/>
      <c r="N20" s="25"/>
      <c r="O20" s="26">
        <f>+O18-O19</f>
        <v>-104.00959238409996</v>
      </c>
    </row>
    <row r="21" spans="3:15">
      <c r="C21" s="12">
        <f t="shared" si="0"/>
        <v>-5</v>
      </c>
      <c r="D21" s="21" t="s">
        <v>92</v>
      </c>
      <c r="E21" s="8"/>
      <c r="F21" s="27"/>
      <c r="G21" s="8"/>
      <c r="H21" s="27"/>
      <c r="I21" s="8"/>
    </row>
    <row r="22" spans="3:15">
      <c r="C22" s="12">
        <f t="shared" si="0"/>
        <v>-6</v>
      </c>
      <c r="D22" s="22" t="s">
        <v>93</v>
      </c>
      <c r="E22" s="8">
        <v>1468359.5976486274</v>
      </c>
      <c r="F22" s="13">
        <v>10.039999999999999</v>
      </c>
      <c r="G22" s="14">
        <f>+F22*$E22</f>
        <v>14742330.360392217</v>
      </c>
      <c r="H22" s="13">
        <v>13.09</v>
      </c>
      <c r="I22" s="14">
        <f>+H22*$E22</f>
        <v>19220827.133220531</v>
      </c>
      <c r="L22" s="30" t="s">
        <v>30</v>
      </c>
      <c r="M22" s="16"/>
      <c r="N22" s="16"/>
      <c r="O22" s="31">
        <f>+O18/G51-1</f>
        <v>9.9741711792801224E-2</v>
      </c>
    </row>
    <row r="23" spans="3:15" ht="14.25">
      <c r="C23" s="12">
        <f t="shared" si="0"/>
        <v>-7</v>
      </c>
      <c r="D23" s="22" t="s">
        <v>94</v>
      </c>
      <c r="E23" s="28">
        <v>2805397.0321639241</v>
      </c>
      <c r="F23" s="18">
        <v>8.64</v>
      </c>
      <c r="G23" s="28">
        <f>+F23*$E23</f>
        <v>24238630.357896306</v>
      </c>
      <c r="H23" s="18">
        <v>11.93</v>
      </c>
      <c r="I23" s="28">
        <f>+H23*$E23</f>
        <v>33468386.593715612</v>
      </c>
      <c r="L23" s="19" t="s">
        <v>25</v>
      </c>
      <c r="O23" s="32">
        <v>9.9742372707961491E-2</v>
      </c>
    </row>
    <row r="24" spans="3:15">
      <c r="C24" s="12">
        <f t="shared" si="0"/>
        <v>-8</v>
      </c>
      <c r="D24" s="61" t="s">
        <v>95</v>
      </c>
      <c r="E24" s="8">
        <f>+SUM(E22:E23)</f>
        <v>4273756.6298125517</v>
      </c>
      <c r="F24" s="23"/>
      <c r="G24" s="14">
        <f>+SUM(G22:G23)</f>
        <v>38980960.718288526</v>
      </c>
      <c r="H24" s="27"/>
      <c r="I24" s="14">
        <f>+SUM(I22:I23)</f>
        <v>52689213.726936147</v>
      </c>
      <c r="L24" s="19" t="s">
        <v>33</v>
      </c>
      <c r="O24" s="34">
        <f>O35/O36</f>
        <v>1.0147795927618393</v>
      </c>
    </row>
    <row r="25" spans="3:15">
      <c r="C25" s="12">
        <f t="shared" si="0"/>
        <v>-9</v>
      </c>
      <c r="D25" s="61" t="s">
        <v>119</v>
      </c>
      <c r="E25" s="8">
        <v>1297942.818181844</v>
      </c>
      <c r="F25" s="13">
        <v>1.59</v>
      </c>
      <c r="G25" s="14">
        <f>+F25*$E25</f>
        <v>2063729.080909132</v>
      </c>
      <c r="H25" s="13">
        <v>2.0699999999999998</v>
      </c>
      <c r="I25" s="14">
        <f>+H25*$E25</f>
        <v>2686741.6336364169</v>
      </c>
      <c r="L25" s="19" t="s">
        <v>34</v>
      </c>
      <c r="O25" s="34">
        <f>+F30/F35</f>
        <v>1.0962800801906827</v>
      </c>
    </row>
    <row r="26" spans="3:15" ht="14.25">
      <c r="C26" s="12">
        <f t="shared" si="0"/>
        <v>-10</v>
      </c>
      <c r="D26" s="33" t="s">
        <v>24</v>
      </c>
      <c r="E26" s="28"/>
      <c r="F26" s="29"/>
      <c r="G26" s="28"/>
      <c r="H26" s="29"/>
      <c r="I26" s="28"/>
      <c r="L26" s="39" t="s">
        <v>35</v>
      </c>
      <c r="M26" s="25"/>
      <c r="N26" s="25"/>
      <c r="O26" s="40">
        <f>I19S!$O$26</f>
        <v>1.0147795927618393</v>
      </c>
    </row>
    <row r="27" spans="3:15">
      <c r="C27" s="12">
        <f t="shared" si="0"/>
        <v>-11</v>
      </c>
      <c r="D27" s="22" t="s">
        <v>66</v>
      </c>
      <c r="E27" s="8">
        <v>104043423.2575843</v>
      </c>
      <c r="F27" s="23">
        <v>5.2313999999999999E-2</v>
      </c>
      <c r="G27" s="14">
        <f>+F27*$E27</f>
        <v>5442927.6442972654</v>
      </c>
      <c r="H27" s="23">
        <v>6.6358E-2</v>
      </c>
      <c r="I27" s="14">
        <f>+H27*$E27</f>
        <v>6904113.4805267788</v>
      </c>
      <c r="O27" s="18"/>
    </row>
    <row r="28" spans="3:15">
      <c r="C28" s="12">
        <f t="shared" si="0"/>
        <v>-12</v>
      </c>
      <c r="D28" s="22" t="s">
        <v>67</v>
      </c>
      <c r="E28" s="8">
        <v>134487569.89006865</v>
      </c>
      <c r="F28" s="27">
        <v>5.2313999999999999E-2</v>
      </c>
      <c r="G28" s="8">
        <f>+F28*$E28</f>
        <v>7035582.731229051</v>
      </c>
      <c r="H28" s="27">
        <v>5.5114999999999997E-2</v>
      </c>
      <c r="I28" s="8">
        <f>+H28*$E28</f>
        <v>7412282.4144911338</v>
      </c>
      <c r="L28" s="15" t="s">
        <v>100</v>
      </c>
      <c r="M28" s="16"/>
      <c r="N28" s="16"/>
      <c r="O28" s="62"/>
    </row>
    <row r="29" spans="3:15" ht="14.25">
      <c r="C29" s="12">
        <f t="shared" si="0"/>
        <v>-13</v>
      </c>
      <c r="D29" s="22" t="s">
        <v>68</v>
      </c>
      <c r="E29" s="28">
        <v>492482409.33962905</v>
      </c>
      <c r="F29" s="29">
        <v>4.6654999999999995E-2</v>
      </c>
      <c r="G29" s="28">
        <f>+F29*$E29</f>
        <v>22976766.80774039</v>
      </c>
      <c r="H29" s="29">
        <v>4.3473999999999999E-2</v>
      </c>
      <c r="I29" s="28">
        <f>+H29*$E29</f>
        <v>21410180.263631035</v>
      </c>
      <c r="L29" s="19" t="s">
        <v>101</v>
      </c>
      <c r="O29" s="63">
        <v>1.29493045486975</v>
      </c>
    </row>
    <row r="30" spans="3:15">
      <c r="C30" s="12">
        <f t="shared" si="0"/>
        <v>-14</v>
      </c>
      <c r="D30" s="61" t="s">
        <v>124</v>
      </c>
      <c r="E30" s="8">
        <f>+SUM(E27:E29)</f>
        <v>731013402.48728204</v>
      </c>
      <c r="F30" s="23">
        <f>+G30/$E30</f>
        <v>4.8501541917876874E-2</v>
      </c>
      <c r="G30" s="14">
        <f>+SUM(G27:G29)</f>
        <v>35455277.183266707</v>
      </c>
      <c r="H30" s="23">
        <f>+I30/$E30</f>
        <v>4.8872669142711794E-2</v>
      </c>
      <c r="I30" s="14">
        <f>+SUM(I27:I29)</f>
        <v>35726576.158648945</v>
      </c>
      <c r="L30" s="19" t="s">
        <v>102</v>
      </c>
      <c r="O30" s="63">
        <v>0.69464646932802199</v>
      </c>
    </row>
    <row r="31" spans="3:15">
      <c r="C31" s="12">
        <f t="shared" si="0"/>
        <v>-15</v>
      </c>
      <c r="D31" s="33" t="s">
        <v>32</v>
      </c>
      <c r="E31" s="8"/>
      <c r="F31" s="23"/>
      <c r="G31" s="14"/>
      <c r="H31" s="23"/>
      <c r="I31" s="14"/>
      <c r="L31" s="19" t="s">
        <v>103</v>
      </c>
      <c r="O31" s="63">
        <v>1.1502439120135297</v>
      </c>
    </row>
    <row r="32" spans="3:15">
      <c r="C32" s="12">
        <f t="shared" si="0"/>
        <v>-16</v>
      </c>
      <c r="D32" s="22" t="s">
        <v>66</v>
      </c>
      <c r="E32" s="8">
        <v>308030308.47303182</v>
      </c>
      <c r="F32" s="23">
        <v>4.7226999999999998E-2</v>
      </c>
      <c r="G32" s="14">
        <f>+F32*$E32</f>
        <v>14547347.378255874</v>
      </c>
      <c r="H32" s="23">
        <v>5.3897E-2</v>
      </c>
      <c r="I32" s="14">
        <f>+H32*$E32</f>
        <v>16601909.535770996</v>
      </c>
      <c r="L32" s="39" t="s">
        <v>104</v>
      </c>
      <c r="M32" s="25"/>
      <c r="N32" s="25"/>
      <c r="O32" s="64">
        <v>0.89302252886116762</v>
      </c>
    </row>
    <row r="33" spans="3:15">
      <c r="C33" s="12">
        <f t="shared" si="0"/>
        <v>-17</v>
      </c>
      <c r="D33" s="22" t="s">
        <v>67</v>
      </c>
      <c r="E33" s="8">
        <v>315781072.1390208</v>
      </c>
      <c r="F33" s="27">
        <v>4.4804999999999998E-2</v>
      </c>
      <c r="G33" s="8">
        <f>+F33*$E33</f>
        <v>14148570.937188827</v>
      </c>
      <c r="H33" s="27">
        <v>4.9043999999999997E-2</v>
      </c>
      <c r="I33" s="8">
        <f>+H33*$E33</f>
        <v>15487166.901986135</v>
      </c>
    </row>
    <row r="34" spans="3:15" ht="14.25">
      <c r="C34" s="12">
        <f t="shared" si="0"/>
        <v>-18</v>
      </c>
      <c r="D34" s="22" t="s">
        <v>68</v>
      </c>
      <c r="E34" s="28">
        <v>795765486.94291747</v>
      </c>
      <c r="F34" s="29">
        <v>4.2862999999999998E-2</v>
      </c>
      <c r="G34" s="28">
        <f>+F34*$E34</f>
        <v>34108896.066834271</v>
      </c>
      <c r="H34" s="29">
        <v>4.5588999999999998E-2</v>
      </c>
      <c r="I34" s="28">
        <f>+H34*$E34</f>
        <v>36278152.784240663</v>
      </c>
      <c r="L34" s="15" t="s">
        <v>105</v>
      </c>
      <c r="M34" s="16"/>
      <c r="N34" s="16"/>
      <c r="O34" s="17"/>
    </row>
    <row r="35" spans="3:15" ht="14.25">
      <c r="C35" s="12">
        <f t="shared" si="0"/>
        <v>-19</v>
      </c>
      <c r="D35" s="61" t="s">
        <v>37</v>
      </c>
      <c r="E35" s="28">
        <f>+SUM(E32:E34)</f>
        <v>1419576867.5549703</v>
      </c>
      <c r="F35" s="23">
        <f>+G35/$E35</f>
        <v>4.4241925758097059E-2</v>
      </c>
      <c r="G35" s="35">
        <f>+SUM(G32:G34)</f>
        <v>62804814.382278971</v>
      </c>
      <c r="H35" s="23">
        <f>+I35/$E35</f>
        <v>4.8160286902780493E-2</v>
      </c>
      <c r="I35" s="35">
        <f>+SUM(I32:I34)</f>
        <v>68367229.221997797</v>
      </c>
      <c r="L35" s="19" t="s">
        <v>106</v>
      </c>
      <c r="O35" s="65">
        <v>3.1879731519816851E-2</v>
      </c>
    </row>
    <row r="36" spans="3:15">
      <c r="C36" s="12">
        <f t="shared" si="0"/>
        <v>-20</v>
      </c>
      <c r="D36" s="61" t="s">
        <v>39</v>
      </c>
      <c r="E36" s="8">
        <f>+SUM(E35,E30)</f>
        <v>2150590270.0422525</v>
      </c>
      <c r="F36" s="23"/>
      <c r="G36" s="14">
        <f>+SUM(G35,G30)</f>
        <v>98260091.565545678</v>
      </c>
      <c r="H36" s="23"/>
      <c r="I36" s="14">
        <f>+SUM(I35,I30)</f>
        <v>104093805.38064674</v>
      </c>
      <c r="L36" s="19" t="s">
        <v>107</v>
      </c>
      <c r="O36" s="66">
        <v>3.1415424341607517E-2</v>
      </c>
    </row>
    <row r="37" spans="3:15">
      <c r="C37" s="12">
        <f t="shared" si="0"/>
        <v>-21</v>
      </c>
      <c r="D37" s="61" t="s">
        <v>125</v>
      </c>
      <c r="E37" s="8"/>
      <c r="F37" s="23"/>
      <c r="G37" s="14">
        <f>G36+G25+G24+G20+G18+G17</f>
        <v>150601129.44409677</v>
      </c>
      <c r="H37" s="23"/>
      <c r="I37" s="14">
        <f>I36+I25+I24+I20+I18+I17</f>
        <v>172762335.12869391</v>
      </c>
      <c r="L37" s="19" t="s">
        <v>108</v>
      </c>
      <c r="O37" s="66">
        <f>(O19-I17-I18-I20-I24-I25-I49)/(SUM(E27:E29)+(SUM(E32:E34))/O26)</f>
        <v>4.8872328623780076E-2</v>
      </c>
    </row>
    <row r="38" spans="3:15">
      <c r="C38" s="12">
        <f t="shared" si="0"/>
        <v>-22</v>
      </c>
      <c r="D38" s="69" t="s">
        <v>126</v>
      </c>
      <c r="E38" s="8"/>
      <c r="F38" s="23"/>
      <c r="G38" s="14"/>
      <c r="H38" s="23"/>
      <c r="I38" s="14"/>
      <c r="L38" s="19" t="s">
        <v>109</v>
      </c>
      <c r="O38" s="66">
        <f>+O37/O26</f>
        <v>4.8160535521579041E-2</v>
      </c>
    </row>
    <row r="39" spans="3:15">
      <c r="C39" s="12">
        <f t="shared" si="0"/>
        <v>-23</v>
      </c>
      <c r="D39" s="33" t="s">
        <v>127</v>
      </c>
      <c r="E39" s="8"/>
      <c r="F39" s="23"/>
      <c r="G39" s="14"/>
      <c r="I39" s="14"/>
      <c r="L39" s="19" t="s">
        <v>110</v>
      </c>
      <c r="O39" s="66">
        <v>1.6993000000000001E-2</v>
      </c>
    </row>
    <row r="40" spans="3:15">
      <c r="C40" s="12">
        <f t="shared" si="0"/>
        <v>-24</v>
      </c>
      <c r="D40" s="22" t="s">
        <v>66</v>
      </c>
      <c r="E40" s="8">
        <v>2391843.8399022454</v>
      </c>
      <c r="F40" s="23">
        <v>1.0011999999999998E-2</v>
      </c>
      <c r="G40" s="14">
        <f>+F40*$E40</f>
        <v>23947.140525101277</v>
      </c>
      <c r="H40" s="23">
        <v>1.6993000000000001E-2</v>
      </c>
      <c r="I40" s="14">
        <f>+H40*$E40</f>
        <v>40644.602371458859</v>
      </c>
      <c r="L40" s="19" t="s">
        <v>111</v>
      </c>
      <c r="O40" s="66">
        <v>1.6744999999999999E-2</v>
      </c>
    </row>
    <row r="41" spans="3:15">
      <c r="C41" s="12">
        <f t="shared" si="0"/>
        <v>-25</v>
      </c>
      <c r="D41" s="22" t="s">
        <v>67</v>
      </c>
      <c r="E41" s="8">
        <v>5945167.3713856861</v>
      </c>
      <c r="F41" s="27">
        <v>1.0011999999999998E-2</v>
      </c>
      <c r="G41" s="8">
        <f>+F41*$E41</f>
        <v>59523.015722313481</v>
      </c>
      <c r="H41" s="27">
        <v>1.6993000000000001E-2</v>
      </c>
      <c r="I41" s="8">
        <f>+H41*$E41</f>
        <v>101026.22914195697</v>
      </c>
      <c r="L41" s="19" t="s">
        <v>112</v>
      </c>
      <c r="O41" s="66">
        <f>+O42*O29</f>
        <v>4.9365034506961315E-2</v>
      </c>
    </row>
    <row r="42" spans="3:15" ht="14.25">
      <c r="C42" s="12">
        <f t="shared" si="0"/>
        <v>-26</v>
      </c>
      <c r="D42" s="22" t="s">
        <v>68</v>
      </c>
      <c r="E42" s="28">
        <v>262607.5145807931</v>
      </c>
      <c r="F42" s="29">
        <v>9.6110000000000015E-3</v>
      </c>
      <c r="G42" s="28">
        <f>+F42*$E42</f>
        <v>2523.9208226360029</v>
      </c>
      <c r="H42" s="29">
        <v>1.6993000000000001E-2</v>
      </c>
      <c r="I42" s="28">
        <f>+H42*$E42</f>
        <v>4462.4894952714176</v>
      </c>
      <c r="L42" s="19" t="s">
        <v>113</v>
      </c>
      <c r="O42" s="66">
        <f>+(O35*E30)/((E29*O30)+(E27*O29)+E28)</f>
        <v>3.8121765011640468E-2</v>
      </c>
    </row>
    <row r="43" spans="3:15">
      <c r="C43" s="12">
        <f t="shared" si="0"/>
        <v>-27</v>
      </c>
      <c r="D43" s="61" t="s">
        <v>128</v>
      </c>
      <c r="E43" s="8">
        <f>SUM(E40:E42)</f>
        <v>8599618.7258687243</v>
      </c>
      <c r="F43" s="23">
        <f>G43/E43</f>
        <v>9.999754618349517E-3</v>
      </c>
      <c r="G43" s="14">
        <f>SUM(G40:G42)</f>
        <v>85994.077070050771</v>
      </c>
      <c r="H43" s="23">
        <f>I43/E43</f>
        <v>1.6993000000000001E-2</v>
      </c>
      <c r="I43" s="14">
        <f>SUM(I40:I42)</f>
        <v>146133.32100868723</v>
      </c>
      <c r="L43" s="19" t="s">
        <v>114</v>
      </c>
      <c r="O43" s="66">
        <f>+O42*O30</f>
        <v>2.6481149469888571E-2</v>
      </c>
    </row>
    <row r="44" spans="3:15">
      <c r="C44" s="12">
        <f t="shared" si="0"/>
        <v>-28</v>
      </c>
      <c r="D44" s="33" t="s">
        <v>129</v>
      </c>
      <c r="L44" s="19" t="s">
        <v>115</v>
      </c>
      <c r="O44" s="66">
        <f>+O45*O31</f>
        <v>3.7152136321126926E-2</v>
      </c>
    </row>
    <row r="45" spans="3:15">
      <c r="C45" s="12">
        <f t="shared" si="0"/>
        <v>-29</v>
      </c>
      <c r="D45" s="22" t="s">
        <v>66</v>
      </c>
      <c r="E45" s="8">
        <v>3128757.253535368</v>
      </c>
      <c r="F45" s="23">
        <v>1.8269999999999995E-2</v>
      </c>
      <c r="G45" s="14">
        <f>+F45*$E45</f>
        <v>57162.395022091157</v>
      </c>
      <c r="H45" s="23">
        <v>1.6744999999999999E-2</v>
      </c>
      <c r="I45" s="14">
        <f>+H45*$E45</f>
        <v>52391.040210449733</v>
      </c>
      <c r="L45" s="19" t="s">
        <v>116</v>
      </c>
      <c r="O45" s="66">
        <f>+(O36*E35)/((E34*O32)+(E32*O31)+E33)</f>
        <v>3.229935488733969E-2</v>
      </c>
    </row>
    <row r="46" spans="3:15">
      <c r="C46" s="12">
        <f t="shared" si="0"/>
        <v>-30</v>
      </c>
      <c r="D46" s="22" t="s">
        <v>67</v>
      </c>
      <c r="E46" s="8">
        <v>5411634.1834574416</v>
      </c>
      <c r="F46" s="27">
        <v>1.8130000000000007E-2</v>
      </c>
      <c r="G46" s="8">
        <f>+F46*$E46</f>
        <v>98112.927746083456</v>
      </c>
      <c r="H46" s="27">
        <v>1.6744999999999999E-2</v>
      </c>
      <c r="I46" s="8">
        <f>+H46*$E46</f>
        <v>90617.814401994852</v>
      </c>
      <c r="L46" s="39" t="s">
        <v>117</v>
      </c>
      <c r="M46" s="25"/>
      <c r="N46" s="25"/>
      <c r="O46" s="67">
        <f>+O45*O32</f>
        <v>2.8844051582076403E-2</v>
      </c>
    </row>
    <row r="47" spans="3:15" ht="14.25">
      <c r="C47" s="12">
        <f t="shared" si="0"/>
        <v>-31</v>
      </c>
      <c r="D47" s="22" t="s">
        <v>68</v>
      </c>
      <c r="E47" s="28">
        <v>1024876.6373315147</v>
      </c>
      <c r="F47" s="29">
        <v>1.8018000000000003E-2</v>
      </c>
      <c r="G47" s="28">
        <f>+F47*$E47</f>
        <v>18466.227251439235</v>
      </c>
      <c r="H47" s="29">
        <v>1.6744999999999999E-2</v>
      </c>
      <c r="I47" s="28">
        <f>+H47*$E47</f>
        <v>17161.559292116213</v>
      </c>
    </row>
    <row r="48" spans="3:15" ht="14.25">
      <c r="C48" s="12">
        <f t="shared" si="0"/>
        <v>-32</v>
      </c>
      <c r="D48" s="61" t="s">
        <v>130</v>
      </c>
      <c r="E48" s="28">
        <f>SUM(E45:E47)</f>
        <v>9565268.0743243247</v>
      </c>
      <c r="F48" s="23">
        <f>G48/E48</f>
        <v>1.8163793076116864E-2</v>
      </c>
      <c r="G48" s="35">
        <f>SUM(G45:G47)</f>
        <v>173741.55001961385</v>
      </c>
      <c r="H48" s="23">
        <f>I48/E48</f>
        <v>1.6744999999999996E-2</v>
      </c>
      <c r="I48" s="35">
        <f>SUM(I45:I47)</f>
        <v>160170.41390456079</v>
      </c>
      <c r="L48" s="41" t="s">
        <v>44</v>
      </c>
      <c r="M48" s="6"/>
      <c r="N48" s="6"/>
      <c r="O48" s="42">
        <v>0</v>
      </c>
    </row>
    <row r="49" spans="3:15">
      <c r="C49" s="12">
        <f t="shared" si="0"/>
        <v>-33</v>
      </c>
      <c r="D49" s="61" t="s">
        <v>131</v>
      </c>
      <c r="E49" s="8">
        <f>E48+E43</f>
        <v>18164886.800193049</v>
      </c>
      <c r="G49" s="14">
        <f>G48+G43</f>
        <v>259735.62708966463</v>
      </c>
      <c r="I49" s="14">
        <f>I48+I43</f>
        <v>306303.73491324799</v>
      </c>
    </row>
    <row r="50" spans="3:15" ht="14.25">
      <c r="C50" s="12">
        <f t="shared" si="0"/>
        <v>-34</v>
      </c>
      <c r="D50" s="3" t="s">
        <v>41</v>
      </c>
      <c r="G50" s="28">
        <v>6511213.306626753</v>
      </c>
      <c r="L50" s="41" t="s">
        <v>55</v>
      </c>
      <c r="M50" s="6"/>
      <c r="N50" s="6"/>
      <c r="O50" s="49">
        <v>0</v>
      </c>
    </row>
    <row r="51" spans="3:15">
      <c r="C51" s="12">
        <f t="shared" si="0"/>
        <v>-35</v>
      </c>
      <c r="D51" s="3" t="s">
        <v>43</v>
      </c>
      <c r="G51" s="14">
        <f>+SUM(G50,G36,G24:G25,G20,G17:G18,G49)</f>
        <v>157372078.37781319</v>
      </c>
      <c r="I51" s="14">
        <f>+SUM(I50,I36,I24:I25,I20,I17:I18,I49)</f>
        <v>173068638.86360717</v>
      </c>
    </row>
    <row r="52" spans="3:15">
      <c r="G52" s="14"/>
    </row>
    <row r="53" spans="3:15">
      <c r="C53" s="43" t="s">
        <v>45</v>
      </c>
      <c r="D53" s="44" t="s">
        <v>46</v>
      </c>
      <c r="E53" s="44" t="s">
        <v>46</v>
      </c>
      <c r="F53" s="44" t="s">
        <v>46</v>
      </c>
      <c r="G53" s="44" t="s">
        <v>46</v>
      </c>
      <c r="H53" s="44" t="s">
        <v>46</v>
      </c>
      <c r="I53" s="45" t="s">
        <v>47</v>
      </c>
    </row>
    <row r="56" spans="3:15">
      <c r="I56" s="14"/>
    </row>
    <row r="58" spans="3:15">
      <c r="E58" s="70"/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E0769-919F-4C24-8441-A2BA09C01127}">
  <sheetPr>
    <tabColor theme="3"/>
    <pageSetUpPr fitToPage="1"/>
  </sheetPr>
  <dimension ref="C3:O50"/>
  <sheetViews>
    <sheetView showGridLines="0" view="pageBreakPreview" topLeftCell="A10" zoomScaleNormal="9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121</v>
      </c>
      <c r="D9" s="2"/>
      <c r="E9" s="2"/>
      <c r="F9" s="2"/>
      <c r="G9" s="2"/>
      <c r="H9" s="2"/>
      <c r="I9" s="2"/>
    </row>
    <row r="10" spans="3:9">
      <c r="C10" s="2" t="s">
        <v>132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v>36</v>
      </c>
      <c r="F17" s="13">
        <v>415</v>
      </c>
      <c r="G17" s="14">
        <f>+F17*$E17</f>
        <v>14940</v>
      </c>
      <c r="H17" s="13">
        <v>490</v>
      </c>
      <c r="I17" s="14">
        <f>+H17*$E17</f>
        <v>17640</v>
      </c>
      <c r="L17" s="15" t="str">
        <f>+_xlfn.CONCAT(C9,", ",C10)</f>
        <v>Large Power Service, Schedule 19 Transmission Service</v>
      </c>
      <c r="M17" s="16"/>
      <c r="N17" s="16"/>
      <c r="O17" s="17"/>
    </row>
    <row r="18" spans="3:15">
      <c r="C18" s="12">
        <f t="shared" ref="C18:C38" si="0">+C17-1</f>
        <v>-2</v>
      </c>
      <c r="D18" s="3" t="s">
        <v>22</v>
      </c>
      <c r="E18" s="8">
        <v>0</v>
      </c>
      <c r="F18" s="18">
        <v>50</v>
      </c>
      <c r="G18" s="8">
        <f>+F18*$E18</f>
        <v>0</v>
      </c>
      <c r="H18" s="18">
        <v>50</v>
      </c>
      <c r="I18" s="8">
        <f>+H18*$E18</f>
        <v>0</v>
      </c>
      <c r="L18" s="19" t="s">
        <v>23</v>
      </c>
      <c r="O18" s="20">
        <f>+I38</f>
        <v>3012658.0540930596</v>
      </c>
    </row>
    <row r="19" spans="3:15">
      <c r="C19" s="12">
        <f t="shared" si="0"/>
        <v>-3</v>
      </c>
      <c r="D19" s="21" t="s">
        <v>90</v>
      </c>
      <c r="L19" s="19" t="s">
        <v>25</v>
      </c>
      <c r="O19" s="20">
        <f>+G38*(1+O23)</f>
        <v>3012659.3121579029</v>
      </c>
    </row>
    <row r="20" spans="3:15">
      <c r="C20" s="12">
        <f t="shared" si="0"/>
        <v>-4</v>
      </c>
      <c r="D20" s="22" t="s">
        <v>91</v>
      </c>
      <c r="E20" s="8">
        <v>74735.939714353357</v>
      </c>
      <c r="F20" s="13">
        <v>1.87</v>
      </c>
      <c r="G20" s="14">
        <f>+F20*$E20</f>
        <v>139756.20726584079</v>
      </c>
      <c r="H20" s="13">
        <v>1.72</v>
      </c>
      <c r="I20" s="14">
        <f>+H20*$E20</f>
        <v>128545.81630868778</v>
      </c>
      <c r="L20" s="24" t="s">
        <v>27</v>
      </c>
      <c r="M20" s="25"/>
      <c r="N20" s="25"/>
      <c r="O20" s="26">
        <f>+O18-O19</f>
        <v>-1.2580648432485759</v>
      </c>
    </row>
    <row r="21" spans="3:15">
      <c r="C21" s="12">
        <f t="shared" si="0"/>
        <v>-5</v>
      </c>
      <c r="D21" s="21" t="s">
        <v>92</v>
      </c>
      <c r="E21" s="8"/>
      <c r="F21" s="27"/>
      <c r="G21" s="8"/>
      <c r="H21" s="27"/>
      <c r="I21" s="8"/>
    </row>
    <row r="22" spans="3:15">
      <c r="C22" s="12">
        <f t="shared" si="0"/>
        <v>-6</v>
      </c>
      <c r="D22" s="22" t="s">
        <v>93</v>
      </c>
      <c r="E22" s="8">
        <v>23214.759528440794</v>
      </c>
      <c r="F22" s="13">
        <v>10.199999999999999</v>
      </c>
      <c r="G22" s="14">
        <f>+F22*$E22</f>
        <v>236790.54719009608</v>
      </c>
      <c r="H22" s="13">
        <v>14.18</v>
      </c>
      <c r="I22" s="14">
        <f>+H22*$E22</f>
        <v>329185.29011329048</v>
      </c>
      <c r="L22" s="30" t="s">
        <v>30</v>
      </c>
      <c r="M22" s="16"/>
      <c r="N22" s="16"/>
      <c r="O22" s="31">
        <f>+O18/G38-1</f>
        <v>9.9741913463462728E-2</v>
      </c>
    </row>
    <row r="23" spans="3:15" ht="14.25">
      <c r="C23" s="12">
        <f t="shared" si="0"/>
        <v>-7</v>
      </c>
      <c r="D23" s="22" t="s">
        <v>94</v>
      </c>
      <c r="E23" s="28">
        <v>48951.172590136455</v>
      </c>
      <c r="F23" s="18">
        <v>8.7799999999999994</v>
      </c>
      <c r="G23" s="28">
        <f>+F23*$E23</f>
        <v>429791.29534139804</v>
      </c>
      <c r="H23" s="18">
        <v>12.42</v>
      </c>
      <c r="I23" s="28">
        <f>+H23*$E23</f>
        <v>607973.56356949476</v>
      </c>
      <c r="L23" s="19" t="s">
        <v>25</v>
      </c>
      <c r="O23" s="32">
        <v>9.9742372707961491E-2</v>
      </c>
    </row>
    <row r="24" spans="3:15">
      <c r="C24" s="12">
        <f t="shared" si="0"/>
        <v>-8</v>
      </c>
      <c r="D24" s="61" t="s">
        <v>95</v>
      </c>
      <c r="E24" s="8">
        <f>+SUM(E22:E23)</f>
        <v>72165.932118577242</v>
      </c>
      <c r="F24" s="23"/>
      <c r="G24" s="14">
        <f>+SUM(G22:G23)</f>
        <v>666581.8425314941</v>
      </c>
      <c r="H24" s="27"/>
      <c r="I24" s="14">
        <f>+SUM(I22:I23)</f>
        <v>937158.85368278529</v>
      </c>
      <c r="L24" s="19" t="s">
        <v>33</v>
      </c>
      <c r="O24" s="34">
        <f>O35/O36</f>
        <v>1.0147795927618393</v>
      </c>
    </row>
    <row r="25" spans="3:15">
      <c r="C25" s="12">
        <f t="shared" si="0"/>
        <v>-9</v>
      </c>
      <c r="D25" s="61" t="s">
        <v>119</v>
      </c>
      <c r="E25" s="8">
        <v>18352.439941214252</v>
      </c>
      <c r="F25" s="13">
        <v>1.59</v>
      </c>
      <c r="G25" s="14">
        <f>+F25*$E25</f>
        <v>29180.379506530662</v>
      </c>
      <c r="H25" s="13">
        <v>2.0699999999999998</v>
      </c>
      <c r="I25" s="14">
        <f>+H25*$E25</f>
        <v>37989.550678313499</v>
      </c>
      <c r="L25" s="19" t="s">
        <v>34</v>
      </c>
      <c r="O25" s="34">
        <f>+F30/F35</f>
        <v>1.0962431761302462</v>
      </c>
    </row>
    <row r="26" spans="3:15" ht="14.25">
      <c r="C26" s="12">
        <f t="shared" si="0"/>
        <v>-10</v>
      </c>
      <c r="D26" s="33" t="s">
        <v>24</v>
      </c>
      <c r="E26" s="28"/>
      <c r="F26" s="29"/>
      <c r="G26" s="28"/>
      <c r="H26" s="29"/>
      <c r="I26" s="28"/>
      <c r="L26" s="39" t="s">
        <v>35</v>
      </c>
      <c r="M26" s="25"/>
      <c r="N26" s="25"/>
      <c r="O26" s="40">
        <f>I19S!$O$26</f>
        <v>1.0147795927618393</v>
      </c>
    </row>
    <row r="27" spans="3:15">
      <c r="C27" s="12">
        <f t="shared" si="0"/>
        <v>-11</v>
      </c>
      <c r="D27" s="22" t="s">
        <v>66</v>
      </c>
      <c r="E27" s="8">
        <v>1722226.8464845475</v>
      </c>
      <c r="F27" s="23">
        <v>5.2142000000000001E-2</v>
      </c>
      <c r="G27" s="14">
        <f>+F27*$E27</f>
        <v>89800.352229397278</v>
      </c>
      <c r="H27" s="23">
        <v>6.7061999999999997E-2</v>
      </c>
      <c r="I27" s="14">
        <f>+H27*$E27</f>
        <v>115495.97677894672</v>
      </c>
      <c r="O27" s="18"/>
    </row>
    <row r="28" spans="3:15">
      <c r="C28" s="12">
        <f t="shared" si="0"/>
        <v>-12</v>
      </c>
      <c r="D28" s="22" t="s">
        <v>67</v>
      </c>
      <c r="E28" s="8">
        <v>2183929.5126648219</v>
      </c>
      <c r="F28" s="27">
        <v>5.2142000000000001E-2</v>
      </c>
      <c r="G28" s="8">
        <f>+F28*$E28</f>
        <v>113874.45264936915</v>
      </c>
      <c r="H28" s="27">
        <v>5.5664999999999999E-2</v>
      </c>
      <c r="I28" s="8">
        <f>+H28*$E28</f>
        <v>121568.43632248731</v>
      </c>
      <c r="L28" s="15" t="s">
        <v>100</v>
      </c>
      <c r="M28" s="16"/>
      <c r="N28" s="16"/>
      <c r="O28" s="62"/>
    </row>
    <row r="29" spans="3:15" ht="14.25">
      <c r="C29" s="12">
        <f t="shared" si="0"/>
        <v>-13</v>
      </c>
      <c r="D29" s="22" t="s">
        <v>68</v>
      </c>
      <c r="E29" s="28">
        <v>9142393.0133252665</v>
      </c>
      <c r="F29" s="29">
        <v>4.6450999999999999E-2</v>
      </c>
      <c r="G29" s="28">
        <f>+F29*$E29</f>
        <v>424673.29786197195</v>
      </c>
      <c r="H29" s="29">
        <v>4.3865000000000001E-2</v>
      </c>
      <c r="I29" s="28">
        <f>+H29*$E29</f>
        <v>401031.06952951284</v>
      </c>
      <c r="L29" s="19" t="s">
        <v>101</v>
      </c>
      <c r="O29" s="63">
        <v>1.29493045486975</v>
      </c>
    </row>
    <row r="30" spans="3:15">
      <c r="C30" s="12">
        <f t="shared" si="0"/>
        <v>-14</v>
      </c>
      <c r="D30" s="61" t="s">
        <v>31</v>
      </c>
      <c r="E30" s="8">
        <f>+SUM(E27:E29)</f>
        <v>13048549.372474637</v>
      </c>
      <c r="F30" s="23">
        <f>+G30/$E30</f>
        <v>4.8154632733828029E-2</v>
      </c>
      <c r="G30" s="14">
        <f>+SUM(G27:G29)</f>
        <v>628348.10274073831</v>
      </c>
      <c r="H30" s="23">
        <f>+I30/$E30</f>
        <v>4.8901641432800368E-2</v>
      </c>
      <c r="I30" s="14">
        <f>+SUM(I27:I29)</f>
        <v>638095.48263094691</v>
      </c>
      <c r="L30" s="19" t="s">
        <v>102</v>
      </c>
      <c r="O30" s="63">
        <v>0.69464646932802199</v>
      </c>
    </row>
    <row r="31" spans="3:15">
      <c r="C31" s="12">
        <f t="shared" si="0"/>
        <v>-15</v>
      </c>
      <c r="D31" s="33" t="s">
        <v>32</v>
      </c>
      <c r="E31" s="8"/>
      <c r="F31" s="23"/>
      <c r="G31" s="14"/>
      <c r="H31" s="23"/>
      <c r="I31" s="14"/>
      <c r="L31" s="19" t="s">
        <v>103</v>
      </c>
      <c r="O31" s="63">
        <v>1.1502439120135297</v>
      </c>
    </row>
    <row r="32" spans="3:15">
      <c r="C32" s="12">
        <f t="shared" si="0"/>
        <v>-16</v>
      </c>
      <c r="D32" s="22" t="s">
        <v>66</v>
      </c>
      <c r="E32" s="8">
        <v>5624627.7570878286</v>
      </c>
      <c r="F32" s="23">
        <v>4.6927000000000003E-2</v>
      </c>
      <c r="G32" s="14">
        <f>+F32*$E32</f>
        <v>263946.90675686055</v>
      </c>
      <c r="H32" s="23">
        <v>5.3955000000000003E-2</v>
      </c>
      <c r="I32" s="14">
        <f>+H32*$E32</f>
        <v>303476.79063367378</v>
      </c>
      <c r="L32" s="39" t="s">
        <v>104</v>
      </c>
      <c r="M32" s="25"/>
      <c r="N32" s="25"/>
      <c r="O32" s="64">
        <v>0.89302252886116762</v>
      </c>
    </row>
    <row r="33" spans="3:15">
      <c r="C33" s="12">
        <f t="shared" si="0"/>
        <v>-17</v>
      </c>
      <c r="D33" s="22" t="s">
        <v>67</v>
      </c>
      <c r="E33" s="8">
        <v>5644025.2332424559</v>
      </c>
      <c r="F33" s="27">
        <v>4.4503999999999995E-2</v>
      </c>
      <c r="G33" s="8">
        <f>+F33*$E33</f>
        <v>251181.69898022222</v>
      </c>
      <c r="H33" s="27">
        <v>4.9098999999999997E-2</v>
      </c>
      <c r="I33" s="8">
        <f>+H33*$E33</f>
        <v>277115.99492697133</v>
      </c>
    </row>
    <row r="34" spans="3:15" ht="14.25">
      <c r="C34" s="12">
        <f t="shared" si="0"/>
        <v>-18</v>
      </c>
      <c r="D34" s="22" t="s">
        <v>68</v>
      </c>
      <c r="E34" s="28">
        <v>14737529.090766642</v>
      </c>
      <c r="F34" s="29">
        <v>4.2560999999999995E-2</v>
      </c>
      <c r="G34" s="28">
        <f>+F34*$E34</f>
        <v>627243.97563211899</v>
      </c>
      <c r="H34" s="29">
        <v>4.5641000000000001E-2</v>
      </c>
      <c r="I34" s="28">
        <f>+H34*$E34</f>
        <v>672635.56523168029</v>
      </c>
      <c r="L34" s="15" t="s">
        <v>105</v>
      </c>
      <c r="M34" s="16"/>
      <c r="N34" s="16"/>
      <c r="O34" s="17"/>
    </row>
    <row r="35" spans="3:15" ht="14.25">
      <c r="C35" s="12">
        <f t="shared" si="0"/>
        <v>-19</v>
      </c>
      <c r="D35" s="61" t="s">
        <v>37</v>
      </c>
      <c r="E35" s="28">
        <f>+SUM(E32:E34)</f>
        <v>26006182.081096925</v>
      </c>
      <c r="F35" s="23">
        <f>+G35/$E35</f>
        <v>4.3926962358675339E-2</v>
      </c>
      <c r="G35" s="35">
        <f>+SUM(G32:G34)</f>
        <v>1142372.5813692017</v>
      </c>
      <c r="H35" s="23">
        <f>+I35/$E35</f>
        <v>4.8189632252988716E-2</v>
      </c>
      <c r="I35" s="35">
        <f>+SUM(I32:I34)</f>
        <v>1253228.3507923256</v>
      </c>
      <c r="L35" s="19" t="s">
        <v>106</v>
      </c>
      <c r="O35" s="65">
        <v>3.1879731519816851E-2</v>
      </c>
    </row>
    <row r="36" spans="3:15">
      <c r="C36" s="12">
        <f t="shared" si="0"/>
        <v>-20</v>
      </c>
      <c r="D36" s="61" t="s">
        <v>39</v>
      </c>
      <c r="E36" s="8">
        <f>+SUM(E35,E30)</f>
        <v>39054731.453571558</v>
      </c>
      <c r="F36" s="23"/>
      <c r="G36" s="14">
        <f>+SUM(G35,G30)</f>
        <v>1770720.68410994</v>
      </c>
      <c r="I36" s="14">
        <f>+SUM(I35,I30)</f>
        <v>1891323.8334232725</v>
      </c>
      <c r="L36" s="19" t="s">
        <v>107</v>
      </c>
      <c r="O36" s="66">
        <v>3.1415424341607517E-2</v>
      </c>
    </row>
    <row r="37" spans="3:15" ht="14.25">
      <c r="C37" s="12">
        <f t="shared" si="0"/>
        <v>-21</v>
      </c>
      <c r="D37" s="3" t="s">
        <v>41</v>
      </c>
      <c r="G37" s="28">
        <v>118243.67043297073</v>
      </c>
      <c r="L37" s="19" t="s">
        <v>108</v>
      </c>
      <c r="O37" s="66">
        <f>(O19-I17-I18-I20-I24-I25)/(SUM(E27:E29)+(SUM(E32:E34))/O26)</f>
        <v>4.8901815735180099E-2</v>
      </c>
    </row>
    <row r="38" spans="3:15">
      <c r="C38" s="12">
        <f t="shared" si="0"/>
        <v>-22</v>
      </c>
      <c r="D38" s="3" t="s">
        <v>43</v>
      </c>
      <c r="G38" s="14">
        <f>+SUM(G37,G36,G24:G25,G20,G17:G18)</f>
        <v>2739422.7838467765</v>
      </c>
      <c r="I38" s="14">
        <f>+SUM(I37,I36,I24:I25,I20,I17:I18)</f>
        <v>3012658.0540930596</v>
      </c>
      <c r="L38" s="19" t="s">
        <v>109</v>
      </c>
      <c r="O38" s="66">
        <f>+O37/O26</f>
        <v>4.8189593172728459E-2</v>
      </c>
    </row>
    <row r="39" spans="3:15">
      <c r="L39" s="19" t="s">
        <v>110</v>
      </c>
      <c r="O39" s="66">
        <v>1.7021999999999999E-2</v>
      </c>
    </row>
    <row r="40" spans="3:15">
      <c r="C40" s="43" t="s">
        <v>45</v>
      </c>
      <c r="D40" s="44" t="s">
        <v>46</v>
      </c>
      <c r="E40" s="44" t="s">
        <v>46</v>
      </c>
      <c r="F40" s="44" t="s">
        <v>46</v>
      </c>
      <c r="G40" s="44" t="s">
        <v>46</v>
      </c>
      <c r="H40" s="44" t="s">
        <v>46</v>
      </c>
      <c r="I40" s="45" t="s">
        <v>47</v>
      </c>
      <c r="L40" s="19" t="s">
        <v>111</v>
      </c>
      <c r="O40" s="66">
        <v>1.6774000000000001E-2</v>
      </c>
    </row>
    <row r="41" spans="3:15">
      <c r="L41" s="19" t="s">
        <v>112</v>
      </c>
      <c r="O41" s="66">
        <f>+O42*O29</f>
        <v>5.0039893663348246E-2</v>
      </c>
    </row>
    <row r="42" spans="3:15">
      <c r="L42" s="19" t="s">
        <v>113</v>
      </c>
      <c r="O42" s="66">
        <f>+(O35*E30)/((E29*O30)+(E27*O29)+E28)</f>
        <v>3.8642919760800191E-2</v>
      </c>
    </row>
    <row r="43" spans="3:15">
      <c r="L43" s="19" t="s">
        <v>114</v>
      </c>
      <c r="O43" s="66">
        <f>+O42*O30</f>
        <v>2.6843167776365903E-2</v>
      </c>
    </row>
    <row r="44" spans="3:15">
      <c r="L44" s="19" t="s">
        <v>115</v>
      </c>
      <c r="O44" s="66">
        <f>+O45*O31</f>
        <v>3.7181257338647966E-2</v>
      </c>
    </row>
    <row r="45" spans="3:15">
      <c r="L45" s="19" t="s">
        <v>116</v>
      </c>
      <c r="O45" s="66">
        <f>+(O36*E35)/((E34*O32)+(E32*O31)+E33)</f>
        <v>3.2324672141547162E-2</v>
      </c>
    </row>
    <row r="46" spans="3:15">
      <c r="L46" s="39" t="s">
        <v>117</v>
      </c>
      <c r="M46" s="25"/>
      <c r="N46" s="25"/>
      <c r="O46" s="67">
        <f>+O45*O32</f>
        <v>2.8866660460452581E-2</v>
      </c>
    </row>
    <row r="48" spans="3:15">
      <c r="L48" s="41" t="s">
        <v>44</v>
      </c>
      <c r="M48" s="6"/>
      <c r="N48" s="6"/>
      <c r="O48" s="42">
        <v>0</v>
      </c>
    </row>
    <row r="50" spans="12:15">
      <c r="L50" s="41" t="s">
        <v>55</v>
      </c>
      <c r="M50" s="6"/>
      <c r="N50" s="6"/>
      <c r="O50" s="49">
        <v>0</v>
      </c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31C42-3D85-4D99-90C0-C7A7A2560031}">
  <sheetPr>
    <tabColor theme="3"/>
    <pageSetUpPr fitToPage="1"/>
  </sheetPr>
  <dimension ref="C3:O54"/>
  <sheetViews>
    <sheetView showGridLines="0" view="pageBreakPreview" zoomScaleNormal="10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133</v>
      </c>
      <c r="D9" s="2"/>
      <c r="E9" s="2"/>
      <c r="F9" s="2"/>
      <c r="G9" s="2"/>
      <c r="H9" s="2"/>
      <c r="I9" s="2"/>
    </row>
    <row r="10" spans="3:9">
      <c r="C10" s="2" t="s">
        <v>134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71" t="s">
        <v>135</v>
      </c>
      <c r="H17" s="13"/>
      <c r="I17" s="14"/>
      <c r="L17" s="15" t="str">
        <f>+_xlfn.CONCAT(C9,", ",C10)</f>
        <v>Agricultural Irrigation Service, Schedule 24 Secondary Service</v>
      </c>
      <c r="M17" s="16"/>
      <c r="N17" s="16"/>
      <c r="O17" s="17"/>
    </row>
    <row r="18" spans="3:15">
      <c r="C18" s="12">
        <f>+C17-1</f>
        <v>-2</v>
      </c>
      <c r="D18" s="3" t="s">
        <v>136</v>
      </c>
      <c r="E18" s="8">
        <v>78563.5</v>
      </c>
      <c r="F18" s="13">
        <v>30</v>
      </c>
      <c r="G18" s="14">
        <f>+F18*$E18</f>
        <v>2356905</v>
      </c>
      <c r="H18" s="13"/>
      <c r="I18" s="14"/>
      <c r="L18" s="19" t="s">
        <v>23</v>
      </c>
      <c r="O18" s="20">
        <f>+I40</f>
        <v>209823412.23410836</v>
      </c>
    </row>
    <row r="19" spans="3:15">
      <c r="C19" s="12">
        <f t="shared" ref="C19:C40" si="0">+C18-1</f>
        <v>-3</v>
      </c>
      <c r="D19" s="3" t="s">
        <v>137</v>
      </c>
      <c r="E19" s="8">
        <v>158480</v>
      </c>
      <c r="F19" s="18">
        <v>6</v>
      </c>
      <c r="G19" s="8">
        <f>+F19*$E19</f>
        <v>950880</v>
      </c>
      <c r="H19" s="18"/>
      <c r="I19" s="8"/>
      <c r="L19" s="19" t="s">
        <v>25</v>
      </c>
      <c r="O19" s="20">
        <f>+G40*(1+O23)</f>
        <v>209823653.75110453</v>
      </c>
    </row>
    <row r="20" spans="3:15">
      <c r="C20" s="12">
        <f t="shared" si="0"/>
        <v>-4</v>
      </c>
      <c r="D20" s="3" t="s">
        <v>22</v>
      </c>
      <c r="E20" s="8">
        <v>538.28666666666663</v>
      </c>
      <c r="F20" s="18">
        <v>3</v>
      </c>
      <c r="G20" s="8">
        <f>+F20*$E20</f>
        <v>1614.86</v>
      </c>
      <c r="H20" s="18"/>
      <c r="I20" s="8"/>
      <c r="L20" s="24" t="s">
        <v>27</v>
      </c>
      <c r="M20" s="25"/>
      <c r="N20" s="25"/>
      <c r="O20" s="26">
        <f>+O18-O19</f>
        <v>-241.51699617505074</v>
      </c>
    </row>
    <row r="21" spans="3:15">
      <c r="C21" s="12">
        <f t="shared" si="0"/>
        <v>-5</v>
      </c>
      <c r="D21" s="21" t="s">
        <v>138</v>
      </c>
      <c r="E21" s="8"/>
      <c r="F21" s="13"/>
      <c r="G21" s="14"/>
      <c r="H21" s="13"/>
      <c r="I21" s="14"/>
    </row>
    <row r="22" spans="3:15">
      <c r="C22" s="12">
        <f t="shared" si="0"/>
        <v>-6</v>
      </c>
      <c r="D22" s="22" t="s">
        <v>139</v>
      </c>
      <c r="E22" s="8">
        <v>3891290.0795363188</v>
      </c>
      <c r="F22" s="13">
        <v>15.06</v>
      </c>
      <c r="G22" s="14">
        <f>+F22*$E22</f>
        <v>58602828.597816959</v>
      </c>
      <c r="L22" s="30" t="s">
        <v>30</v>
      </c>
      <c r="M22" s="16"/>
      <c r="N22" s="16"/>
      <c r="O22" s="31">
        <f>+O18/G40-1</f>
        <v>0.17018900315726593</v>
      </c>
    </row>
    <row r="23" spans="3:15">
      <c r="C23" s="12">
        <f t="shared" si="0"/>
        <v>-7</v>
      </c>
      <c r="D23" s="22" t="s">
        <v>140</v>
      </c>
      <c r="E23" s="8">
        <v>0</v>
      </c>
      <c r="F23" s="18">
        <v>0</v>
      </c>
      <c r="G23" s="8">
        <f>+F23*$E23</f>
        <v>0</v>
      </c>
      <c r="L23" s="19" t="s">
        <v>25</v>
      </c>
      <c r="O23" s="32">
        <v>0.1701903501019657</v>
      </c>
    </row>
    <row r="24" spans="3:15">
      <c r="C24" s="12">
        <f t="shared" si="0"/>
        <v>-8</v>
      </c>
      <c r="D24" s="21" t="s">
        <v>141</v>
      </c>
      <c r="E24" s="8"/>
      <c r="F24" s="13"/>
      <c r="G24" s="14"/>
      <c r="H24" s="13"/>
      <c r="I24" s="14"/>
      <c r="L24" s="19" t="s">
        <v>34</v>
      </c>
      <c r="O24" s="34">
        <f>+F25/F26</f>
        <v>0.85069323969855537</v>
      </c>
    </row>
    <row r="25" spans="3:15">
      <c r="C25" s="12">
        <f t="shared" si="0"/>
        <v>-9</v>
      </c>
      <c r="D25" s="22" t="s">
        <v>139</v>
      </c>
      <c r="E25" s="8">
        <v>1441717276.6679356</v>
      </c>
      <c r="F25" s="23">
        <v>6.1295000000000002E-2</v>
      </c>
      <c r="G25" s="14">
        <f>+F25*$E25</f>
        <v>88370060.47336112</v>
      </c>
      <c r="H25" s="27"/>
      <c r="I25" s="8"/>
      <c r="L25" s="19" t="s">
        <v>96</v>
      </c>
      <c r="O25" s="34">
        <v>0.89971321341417976</v>
      </c>
    </row>
    <row r="26" spans="3:15" ht="14.25">
      <c r="C26" s="12">
        <f t="shared" si="0"/>
        <v>-10</v>
      </c>
      <c r="D26" s="22" t="s">
        <v>140</v>
      </c>
      <c r="E26" s="28">
        <v>328446777.89088106</v>
      </c>
      <c r="F26" s="27">
        <v>7.2052999999999992E-2</v>
      </c>
      <c r="G26" s="28">
        <f>+F26*$E26</f>
        <v>23665575.687371649</v>
      </c>
      <c r="H26" s="23"/>
      <c r="I26" s="14"/>
      <c r="L26" s="39" t="s">
        <v>35</v>
      </c>
      <c r="M26" s="25"/>
      <c r="N26" s="25"/>
      <c r="O26" s="40">
        <f>O25</f>
        <v>0.89971321341417976</v>
      </c>
    </row>
    <row r="27" spans="3:15">
      <c r="C27" s="12">
        <f t="shared" si="0"/>
        <v>-11</v>
      </c>
      <c r="D27" s="61" t="s">
        <v>63</v>
      </c>
      <c r="E27" s="8">
        <f>+SUM(E25:E26)</f>
        <v>1770164054.5588167</v>
      </c>
      <c r="F27" s="27"/>
      <c r="G27" s="14">
        <f>+SUM(G25:G26)</f>
        <v>112035636.16073278</v>
      </c>
      <c r="H27" s="27"/>
      <c r="I27" s="8"/>
    </row>
    <row r="28" spans="3:15">
      <c r="C28" s="12">
        <f t="shared" si="0"/>
        <v>-12</v>
      </c>
      <c r="D28" s="69" t="s">
        <v>142</v>
      </c>
      <c r="E28" s="8"/>
      <c r="F28" s="27"/>
      <c r="G28" s="14"/>
      <c r="H28" s="27"/>
      <c r="I28" s="8"/>
    </row>
    <row r="29" spans="3:15">
      <c r="C29" s="12">
        <f t="shared" si="0"/>
        <v>-13</v>
      </c>
      <c r="D29" s="3" t="s">
        <v>136</v>
      </c>
      <c r="E29" s="8">
        <v>78563.5</v>
      </c>
      <c r="F29" s="27"/>
      <c r="G29" s="14"/>
      <c r="H29" s="13">
        <v>35</v>
      </c>
      <c r="I29" s="14">
        <f>+H29*$E29</f>
        <v>2749722.5</v>
      </c>
    </row>
    <row r="30" spans="3:15">
      <c r="C30" s="12">
        <f t="shared" si="0"/>
        <v>-14</v>
      </c>
      <c r="D30" s="3" t="s">
        <v>137</v>
      </c>
      <c r="E30" s="8">
        <v>158480</v>
      </c>
      <c r="F30" s="27"/>
      <c r="G30" s="14"/>
      <c r="H30" s="18">
        <v>9</v>
      </c>
      <c r="I30" s="8">
        <f>+H30*$E30</f>
        <v>1426320</v>
      </c>
    </row>
    <row r="31" spans="3:15">
      <c r="C31" s="12">
        <f t="shared" si="0"/>
        <v>-15</v>
      </c>
      <c r="D31" s="3" t="s">
        <v>22</v>
      </c>
      <c r="E31" s="8">
        <v>538.28666666666663</v>
      </c>
      <c r="F31" s="27"/>
      <c r="G31" s="14"/>
      <c r="H31" s="18">
        <v>3</v>
      </c>
      <c r="I31" s="8">
        <f>+H31*$E31</f>
        <v>1614.86</v>
      </c>
    </row>
    <row r="32" spans="3:15">
      <c r="C32" s="12">
        <f t="shared" si="0"/>
        <v>-16</v>
      </c>
      <c r="D32" s="21" t="s">
        <v>143</v>
      </c>
      <c r="E32" s="8"/>
      <c r="F32" s="27"/>
      <c r="G32" s="14"/>
      <c r="H32" s="13"/>
      <c r="I32" s="8"/>
    </row>
    <row r="33" spans="3:15">
      <c r="C33" s="12">
        <f t="shared" si="0"/>
        <v>-17</v>
      </c>
      <c r="D33" s="22" t="s">
        <v>139</v>
      </c>
      <c r="E33" s="8">
        <v>3790953.0023526768</v>
      </c>
      <c r="F33" s="27"/>
      <c r="G33" s="14"/>
      <c r="H33" s="13">
        <v>18.75</v>
      </c>
      <c r="I33" s="14">
        <f>+H33*$E33</f>
        <v>71080368.794112697</v>
      </c>
    </row>
    <row r="34" spans="3:15">
      <c r="C34" s="12">
        <f t="shared" si="0"/>
        <v>-18</v>
      </c>
      <c r="D34" s="22" t="s">
        <v>140</v>
      </c>
      <c r="E34" s="8">
        <v>0</v>
      </c>
      <c r="F34" s="27"/>
      <c r="G34" s="14"/>
      <c r="H34" s="18">
        <f>+F23</f>
        <v>0</v>
      </c>
      <c r="I34" s="8">
        <f>+H34*$E34</f>
        <v>0</v>
      </c>
    </row>
    <row r="35" spans="3:15">
      <c r="C35" s="12">
        <f t="shared" si="0"/>
        <v>-19</v>
      </c>
      <c r="D35" s="21" t="s">
        <v>144</v>
      </c>
      <c r="E35" s="8"/>
      <c r="F35" s="27"/>
      <c r="G35" s="14"/>
      <c r="H35" s="27"/>
      <c r="I35" s="8"/>
    </row>
    <row r="36" spans="3:15">
      <c r="C36" s="12">
        <f t="shared" si="0"/>
        <v>-20</v>
      </c>
      <c r="D36" s="22" t="s">
        <v>139</v>
      </c>
      <c r="E36" s="8">
        <v>1398685535.0137067</v>
      </c>
      <c r="F36" s="27"/>
      <c r="G36" s="8"/>
      <c r="H36" s="23">
        <v>7.4278999999999998E-2</v>
      </c>
      <c r="I36" s="14">
        <f>+H36*$E36</f>
        <v>103892962.85528311</v>
      </c>
    </row>
    <row r="37" spans="3:15" ht="14.25">
      <c r="C37" s="12">
        <f t="shared" si="0"/>
        <v>-21</v>
      </c>
      <c r="D37" s="22" t="s">
        <v>140</v>
      </c>
      <c r="E37" s="8">
        <v>371525754.31469434</v>
      </c>
      <c r="F37" s="23"/>
      <c r="G37" s="14"/>
      <c r="H37" s="27">
        <v>8.2558000000000006E-2</v>
      </c>
      <c r="I37" s="28">
        <f>+H37*$E37</f>
        <v>30672423.224712539</v>
      </c>
    </row>
    <row r="38" spans="3:15">
      <c r="C38" s="12">
        <f t="shared" si="0"/>
        <v>-22</v>
      </c>
      <c r="D38" s="61" t="s">
        <v>63</v>
      </c>
      <c r="E38" s="8">
        <f>+SUM(E36:E37)</f>
        <v>1770211289.3284011</v>
      </c>
      <c r="F38" s="23"/>
      <c r="G38" s="14"/>
      <c r="I38" s="14">
        <f>+SUM(I36:I37)</f>
        <v>134565386.07999566</v>
      </c>
    </row>
    <row r="39" spans="3:15" ht="14.25">
      <c r="C39" s="12">
        <f t="shared" si="0"/>
        <v>-23</v>
      </c>
      <c r="D39" s="3" t="s">
        <v>41</v>
      </c>
      <c r="G39" s="28">
        <v>5359419.6474855663</v>
      </c>
    </row>
    <row r="40" spans="3:15">
      <c r="C40" s="12">
        <f t="shared" si="0"/>
        <v>-24</v>
      </c>
      <c r="D40" s="3" t="s">
        <v>43</v>
      </c>
      <c r="G40" s="14">
        <f>+SUM(G18:G20,G22:G23,G27,G39)</f>
        <v>179307284.26603529</v>
      </c>
      <c r="I40" s="14">
        <f>+SUM(I29:I31,I33:I34,I36:I37,I39)</f>
        <v>209823412.23410836</v>
      </c>
      <c r="L40" s="41" t="s">
        <v>44</v>
      </c>
      <c r="M40" s="6"/>
      <c r="N40" s="6"/>
      <c r="O40" s="42">
        <v>0</v>
      </c>
    </row>
    <row r="42" spans="3:15">
      <c r="C42" s="43" t="s">
        <v>45</v>
      </c>
      <c r="D42" s="44" t="s">
        <v>46</v>
      </c>
      <c r="E42" s="44" t="s">
        <v>46</v>
      </c>
      <c r="F42" s="44" t="s">
        <v>46</v>
      </c>
      <c r="G42" s="44" t="s">
        <v>46</v>
      </c>
      <c r="H42" s="44" t="s">
        <v>46</v>
      </c>
      <c r="I42" s="45" t="s">
        <v>47</v>
      </c>
      <c r="L42" s="41" t="s">
        <v>55</v>
      </c>
      <c r="M42" s="6"/>
      <c r="N42" s="6"/>
      <c r="O42" s="49">
        <v>-9.9999999999999995E-7</v>
      </c>
    </row>
    <row r="44" spans="3:15">
      <c r="O44" s="18"/>
    </row>
    <row r="45" spans="3:15">
      <c r="E45" s="8"/>
      <c r="O45" s="18"/>
    </row>
    <row r="46" spans="3:15">
      <c r="E46" s="72"/>
      <c r="O46" s="18"/>
    </row>
    <row r="47" spans="3:15">
      <c r="O47" s="18"/>
    </row>
    <row r="50" spans="15:15">
      <c r="O50" s="18"/>
    </row>
    <row r="51" spans="15:15">
      <c r="O51" s="18"/>
    </row>
    <row r="52" spans="15:15">
      <c r="O52" s="18"/>
    </row>
    <row r="53" spans="15:15">
      <c r="O53" s="18"/>
    </row>
    <row r="54" spans="15:15">
      <c r="O54" s="18"/>
    </row>
  </sheetData>
  <dataConsolidate/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9ABEA-2F58-42BE-9D7A-4A398E11EEAB}">
  <sheetPr>
    <tabColor theme="3"/>
    <pageSetUpPr fitToPage="1"/>
  </sheetPr>
  <dimension ref="C3:Q44"/>
  <sheetViews>
    <sheetView showGridLines="0" view="pageBreakPreview" zoomScaleNormal="10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133</v>
      </c>
      <c r="D9" s="2"/>
      <c r="E9" s="2"/>
      <c r="F9" s="2"/>
      <c r="G9" s="2"/>
      <c r="H9" s="2"/>
      <c r="I9" s="2"/>
    </row>
    <row r="10" spans="3:9">
      <c r="C10" s="2" t="s">
        <v>145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7">
      <c r="C17" s="12">
        <v>-1</v>
      </c>
      <c r="D17" s="3" t="s">
        <v>136</v>
      </c>
      <c r="E17" s="8">
        <v>0</v>
      </c>
      <c r="F17" s="13">
        <v>415</v>
      </c>
      <c r="G17" s="14">
        <f>+F17*$E17</f>
        <v>0</v>
      </c>
      <c r="H17" s="13">
        <f>+I19T!H17</f>
        <v>490</v>
      </c>
      <c r="I17" s="14">
        <f>+H17*$E17</f>
        <v>0</v>
      </c>
      <c r="L17" s="15" t="str">
        <f>+_xlfn.CONCAT(C9,", ",C10)</f>
        <v>Agricultural Irrigation Service, Schedule 24 Transmission Service</v>
      </c>
      <c r="M17" s="16"/>
      <c r="N17" s="16"/>
      <c r="O17" s="17"/>
    </row>
    <row r="18" spans="3:17">
      <c r="C18" s="12">
        <f>+C17-1</f>
        <v>-2</v>
      </c>
      <c r="D18" s="3" t="s">
        <v>137</v>
      </c>
      <c r="E18" s="8">
        <v>0</v>
      </c>
      <c r="F18" s="18">
        <v>6</v>
      </c>
      <c r="G18" s="8">
        <f>+F18*$E18</f>
        <v>0</v>
      </c>
      <c r="H18" s="18">
        <f>+I24S!H30</f>
        <v>9</v>
      </c>
      <c r="I18" s="8">
        <f>+H18*$E18</f>
        <v>0</v>
      </c>
      <c r="L18" s="19" t="s">
        <v>23</v>
      </c>
      <c r="O18" s="20">
        <f>+I28</f>
        <v>0</v>
      </c>
    </row>
    <row r="19" spans="3:17">
      <c r="C19" s="12">
        <f t="shared" ref="C19:C28" si="0">+C18-1</f>
        <v>-3</v>
      </c>
      <c r="D19" s="3" t="s">
        <v>22</v>
      </c>
      <c r="E19" s="8">
        <v>0</v>
      </c>
      <c r="F19" s="18">
        <v>3</v>
      </c>
      <c r="G19" s="8">
        <f>+F19*$E19</f>
        <v>0</v>
      </c>
      <c r="H19" s="18">
        <f>+I24S!H31</f>
        <v>3</v>
      </c>
      <c r="I19" s="8">
        <f>+H19*$E19</f>
        <v>0</v>
      </c>
      <c r="L19" s="19" t="s">
        <v>25</v>
      </c>
      <c r="O19" s="20">
        <f>+G28*(1+O23)</f>
        <v>0</v>
      </c>
    </row>
    <row r="20" spans="3:17">
      <c r="C20" s="12">
        <f t="shared" si="0"/>
        <v>-4</v>
      </c>
      <c r="D20" s="21" t="s">
        <v>92</v>
      </c>
      <c r="E20" s="8"/>
      <c r="F20" s="13"/>
      <c r="G20" s="14"/>
      <c r="H20" s="13"/>
      <c r="I20" s="14"/>
      <c r="L20" s="24" t="s">
        <v>27</v>
      </c>
      <c r="M20" s="25"/>
      <c r="N20" s="25"/>
      <c r="O20" s="26">
        <f>+O18-O19</f>
        <v>0</v>
      </c>
    </row>
    <row r="21" spans="3:17">
      <c r="C21" s="12">
        <f t="shared" si="0"/>
        <v>-5</v>
      </c>
      <c r="D21" s="22" t="s">
        <v>139</v>
      </c>
      <c r="E21" s="8">
        <v>0</v>
      </c>
      <c r="F21" s="13">
        <v>13.92</v>
      </c>
      <c r="G21" s="14">
        <f>+F21*$E21</f>
        <v>0</v>
      </c>
      <c r="H21" s="13">
        <v>17.329999999999998</v>
      </c>
      <c r="I21" s="14">
        <f>+H21*$E21</f>
        <v>0</v>
      </c>
    </row>
    <row r="22" spans="3:17">
      <c r="C22" s="12">
        <f t="shared" si="0"/>
        <v>-6</v>
      </c>
      <c r="D22" s="22" t="s">
        <v>140</v>
      </c>
      <c r="E22" s="8">
        <v>0</v>
      </c>
      <c r="F22" s="18">
        <v>0</v>
      </c>
      <c r="G22" s="8">
        <f>+F22*$E22</f>
        <v>0</v>
      </c>
      <c r="L22" s="30" t="s">
        <v>30</v>
      </c>
      <c r="M22" s="16"/>
      <c r="N22" s="16"/>
      <c r="O22" s="31">
        <f>+IFERROR(O18/G28-1,0)</f>
        <v>0</v>
      </c>
    </row>
    <row r="23" spans="3:17">
      <c r="C23" s="12">
        <f t="shared" si="0"/>
        <v>-7</v>
      </c>
      <c r="D23" s="21" t="s">
        <v>97</v>
      </c>
      <c r="E23" s="8"/>
      <c r="F23" s="13"/>
      <c r="G23" s="14"/>
      <c r="I23" s="14"/>
      <c r="L23" s="39" t="s">
        <v>25</v>
      </c>
      <c r="M23" s="25"/>
      <c r="N23" s="25"/>
      <c r="O23" s="51">
        <v>0</v>
      </c>
    </row>
    <row r="24" spans="3:17">
      <c r="C24" s="12">
        <f t="shared" si="0"/>
        <v>-8</v>
      </c>
      <c r="D24" s="22" t="s">
        <v>139</v>
      </c>
      <c r="E24" s="8">
        <v>0</v>
      </c>
      <c r="F24" s="23">
        <v>5.7528999999999997E-2</v>
      </c>
      <c r="G24" s="14">
        <f>+F24*$E24</f>
        <v>0</v>
      </c>
      <c r="H24" s="23">
        <v>6.9714999999999999E-2</v>
      </c>
      <c r="I24" s="14">
        <f>+H24*$E24</f>
        <v>0</v>
      </c>
      <c r="O24" s="18"/>
    </row>
    <row r="25" spans="3:17" ht="14.25">
      <c r="C25" s="12">
        <f t="shared" si="0"/>
        <v>-9</v>
      </c>
      <c r="D25" s="22" t="s">
        <v>140</v>
      </c>
      <c r="E25" s="28">
        <v>0</v>
      </c>
      <c r="F25" s="27">
        <v>6.7351999999999995E-2</v>
      </c>
      <c r="G25" s="28">
        <f>+F25*$E25</f>
        <v>0</v>
      </c>
      <c r="H25" s="27">
        <v>7.7172000000000004E-2</v>
      </c>
      <c r="I25" s="28">
        <f>+H25*$E25</f>
        <v>0</v>
      </c>
      <c r="L25" s="30" t="s">
        <v>146</v>
      </c>
      <c r="M25" s="16"/>
      <c r="N25" s="16"/>
      <c r="O25" s="73">
        <f>I24S!H33/I24S!F22-1</f>
        <v>0.2450199203187251</v>
      </c>
    </row>
    <row r="26" spans="3:17">
      <c r="C26" s="12">
        <f t="shared" si="0"/>
        <v>-10</v>
      </c>
      <c r="D26" s="61" t="s">
        <v>63</v>
      </c>
      <c r="E26" s="8">
        <f>+SUM(E24:E25)</f>
        <v>0</v>
      </c>
      <c r="F26" s="27"/>
      <c r="G26" s="14">
        <f>+SUM(G24:G25)</f>
        <v>0</v>
      </c>
      <c r="H26" s="27"/>
      <c r="I26" s="14">
        <f>+SUM(I24:I25)</f>
        <v>0</v>
      </c>
      <c r="L26" s="19" t="s">
        <v>147</v>
      </c>
      <c r="O26" s="74">
        <f>+I24S!H36/I24S!F25-1</f>
        <v>0.21182804470185168</v>
      </c>
    </row>
    <row r="27" spans="3:17" ht="14.25">
      <c r="C27" s="12">
        <f t="shared" si="0"/>
        <v>-11</v>
      </c>
      <c r="D27" s="3" t="s">
        <v>41</v>
      </c>
      <c r="G27" s="28">
        <v>0</v>
      </c>
      <c r="L27" s="39" t="s">
        <v>148</v>
      </c>
      <c r="M27" s="25"/>
      <c r="N27" s="25"/>
      <c r="O27" s="75">
        <f>+I24S!H37/I24S!F26-1</f>
        <v>0.14579545612257672</v>
      </c>
    </row>
    <row r="28" spans="3:17">
      <c r="C28" s="12">
        <f t="shared" si="0"/>
        <v>-12</v>
      </c>
      <c r="D28" s="3" t="s">
        <v>43</v>
      </c>
      <c r="G28" s="14">
        <f>+SUM(G17:G19,G21:G22,G26,G27)</f>
        <v>0</v>
      </c>
      <c r="I28" s="14">
        <f>+SUM(I17:I19,I21:I22,I26,I27)</f>
        <v>0</v>
      </c>
      <c r="O28" s="18"/>
      <c r="Q28" s="18"/>
    </row>
    <row r="29" spans="3:17">
      <c r="O29" s="18"/>
    </row>
    <row r="30" spans="3:17">
      <c r="C30" s="43" t="s">
        <v>45</v>
      </c>
      <c r="D30" s="44" t="s">
        <v>46</v>
      </c>
      <c r="E30" s="44" t="s">
        <v>46</v>
      </c>
      <c r="F30" s="44" t="s">
        <v>46</v>
      </c>
      <c r="G30" s="44" t="s">
        <v>46</v>
      </c>
      <c r="H30" s="44" t="s">
        <v>46</v>
      </c>
      <c r="I30" s="45" t="s">
        <v>47</v>
      </c>
      <c r="O30" s="18"/>
    </row>
    <row r="31" spans="3:17">
      <c r="O31" s="18"/>
    </row>
    <row r="32" spans="3:17">
      <c r="O32" s="18"/>
    </row>
    <row r="33" spans="15:15">
      <c r="O33" s="18"/>
    </row>
    <row r="34" spans="15:15">
      <c r="O34" s="18"/>
    </row>
    <row r="35" spans="15:15">
      <c r="O35" s="18"/>
    </row>
    <row r="39" spans="15:15">
      <c r="O39" s="18"/>
    </row>
    <row r="40" spans="15:15">
      <c r="O40" s="18"/>
    </row>
    <row r="41" spans="15:15">
      <c r="O41" s="18"/>
    </row>
    <row r="42" spans="15:15">
      <c r="O42" s="18"/>
    </row>
    <row r="43" spans="15:15">
      <c r="O43" s="18"/>
    </row>
    <row r="44" spans="15:15">
      <c r="O44" s="18"/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60058-F039-4CE3-8C31-431E67BCF3F1}">
  <sheetPr>
    <tabColor theme="3"/>
    <pageSetUpPr fitToPage="1"/>
  </sheetPr>
  <dimension ref="C3:O31"/>
  <sheetViews>
    <sheetView showGridLines="0" view="pageBreakPreview" zoomScaleNormal="10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149</v>
      </c>
      <c r="D9" s="2"/>
      <c r="E9" s="2"/>
      <c r="F9" s="2"/>
      <c r="G9" s="2"/>
      <c r="H9" s="2"/>
      <c r="I9" s="2"/>
    </row>
    <row r="10" spans="3:9">
      <c r="C10" s="2" t="s">
        <v>150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/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151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152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21" t="s">
        <v>152</v>
      </c>
      <c r="E17" s="8"/>
      <c r="F17" s="13"/>
      <c r="G17" s="14"/>
      <c r="H17" s="13"/>
      <c r="I17" s="14"/>
      <c r="L17" s="15" t="str">
        <f>+_xlfn.CONCAT(C9,", ",C10)</f>
        <v>Dusk to Dawn Customer Lighting, Schedule 15</v>
      </c>
      <c r="M17" s="16"/>
      <c r="N17" s="16"/>
      <c r="O17" s="17"/>
    </row>
    <row r="18" spans="3:15">
      <c r="C18" s="12">
        <f>+C17-1</f>
        <v>-2</v>
      </c>
      <c r="D18" s="22" t="s">
        <v>153</v>
      </c>
      <c r="E18" s="8"/>
      <c r="F18" s="18"/>
      <c r="G18" s="8"/>
      <c r="H18" s="13"/>
      <c r="I18" s="8"/>
      <c r="L18" s="19" t="s">
        <v>23</v>
      </c>
      <c r="O18" s="20">
        <f>I29</f>
        <v>1430663.9380100002</v>
      </c>
    </row>
    <row r="19" spans="3:15">
      <c r="C19" s="12">
        <f t="shared" ref="C19:C29" si="0">+C18-1</f>
        <v>-3</v>
      </c>
      <c r="D19" s="76" t="s">
        <v>154</v>
      </c>
      <c r="E19" s="77">
        <v>88275.840000000011</v>
      </c>
      <c r="F19" s="13">
        <v>9.82</v>
      </c>
      <c r="G19" s="14">
        <f>E19*F19</f>
        <v>866868.74880000018</v>
      </c>
      <c r="H19" s="13">
        <v>11.17</v>
      </c>
      <c r="I19" s="14">
        <f>E19*H19</f>
        <v>986041.13280000014</v>
      </c>
      <c r="L19" s="19" t="s">
        <v>25</v>
      </c>
      <c r="O19" s="20">
        <f>G29*(1+O24)</f>
        <v>1430757.0185997365</v>
      </c>
    </row>
    <row r="20" spans="3:15">
      <c r="C20" s="12">
        <f t="shared" si="0"/>
        <v>-4</v>
      </c>
      <c r="D20" s="76" t="s">
        <v>155</v>
      </c>
      <c r="E20" s="8">
        <v>9549.4650000000001</v>
      </c>
      <c r="F20" s="18">
        <v>11.950000000000001</v>
      </c>
      <c r="G20" s="8">
        <f>E20*F20</f>
        <v>114116.10675000001</v>
      </c>
      <c r="H20" s="18">
        <v>11.89</v>
      </c>
      <c r="I20" s="8">
        <f>E20*H20</f>
        <v>113543.13885</v>
      </c>
      <c r="L20" s="24" t="s">
        <v>27</v>
      </c>
      <c r="M20" s="25"/>
      <c r="N20" s="25"/>
      <c r="O20" s="26">
        <f>+O18-O19</f>
        <v>-93.080589736346155</v>
      </c>
    </row>
    <row r="21" spans="3:15" ht="14.25">
      <c r="C21" s="12">
        <f t="shared" si="0"/>
        <v>-5</v>
      </c>
      <c r="D21" s="76" t="s">
        <v>156</v>
      </c>
      <c r="E21" s="8">
        <v>1791.8440000000001</v>
      </c>
      <c r="F21" s="18">
        <v>17.27</v>
      </c>
      <c r="G21" s="28">
        <f>E21*F21</f>
        <v>30945.14588</v>
      </c>
      <c r="H21" s="18">
        <v>14.73</v>
      </c>
      <c r="I21" s="8">
        <f>E21*H21</f>
        <v>26393.862120000002</v>
      </c>
    </row>
    <row r="22" spans="3:15">
      <c r="C22" s="12">
        <f t="shared" si="0"/>
        <v>-6</v>
      </c>
      <c r="D22" s="22" t="s">
        <v>157</v>
      </c>
      <c r="E22" s="8"/>
      <c r="F22" s="18"/>
      <c r="G22" s="14">
        <f>+SUM(G19:G21)</f>
        <v>1011930.0014300002</v>
      </c>
      <c r="H22" s="18"/>
      <c r="I22" s="8"/>
    </row>
    <row r="23" spans="3:15" ht="14.25">
      <c r="C23" s="12">
        <f t="shared" si="0"/>
        <v>-7</v>
      </c>
      <c r="D23" s="78" t="s">
        <v>158</v>
      </c>
      <c r="E23" s="28"/>
      <c r="F23" s="79"/>
      <c r="G23" s="35"/>
      <c r="H23" s="79"/>
      <c r="I23" s="35"/>
      <c r="L23" s="30" t="s">
        <v>30</v>
      </c>
      <c r="M23" s="16"/>
      <c r="N23" s="16"/>
      <c r="O23" s="31">
        <f>+O18/$G$29-1</f>
        <v>3.9207084206678067E-2</v>
      </c>
    </row>
    <row r="24" spans="3:15">
      <c r="C24" s="12">
        <f t="shared" si="0"/>
        <v>-8</v>
      </c>
      <c r="D24" s="76" t="s">
        <v>155</v>
      </c>
      <c r="E24" s="77">
        <v>15892.918000000001</v>
      </c>
      <c r="F24" s="13">
        <v>19.5</v>
      </c>
      <c r="G24" s="14">
        <f>E24*F24</f>
        <v>309911.90100000001</v>
      </c>
      <c r="H24" s="13">
        <v>16.489999999999998</v>
      </c>
      <c r="I24" s="14">
        <f>E24*H24</f>
        <v>262074.21781999999</v>
      </c>
      <c r="L24" s="39" t="s">
        <v>25</v>
      </c>
      <c r="M24" s="25"/>
      <c r="N24" s="25"/>
      <c r="O24" s="51">
        <v>3.9274696177376708E-2</v>
      </c>
    </row>
    <row r="25" spans="3:15">
      <c r="C25" s="12">
        <f t="shared" si="0"/>
        <v>-9</v>
      </c>
      <c r="D25" s="76" t="s">
        <v>159</v>
      </c>
      <c r="E25" s="77">
        <v>933.13999999999987</v>
      </c>
      <c r="F25" s="18">
        <v>21.47</v>
      </c>
      <c r="G25" s="8">
        <f>E25*F25</f>
        <v>20034.515799999997</v>
      </c>
      <c r="H25" s="18">
        <v>17.43</v>
      </c>
      <c r="I25" s="8">
        <f>E25*H25</f>
        <v>16264.630199999998</v>
      </c>
    </row>
    <row r="26" spans="3:15" ht="14.25">
      <c r="C26" s="12">
        <f t="shared" si="0"/>
        <v>-10</v>
      </c>
      <c r="D26" s="76" t="s">
        <v>160</v>
      </c>
      <c r="E26" s="77">
        <v>1145.0219999999999</v>
      </c>
      <c r="F26" s="18">
        <v>25.28</v>
      </c>
      <c r="G26" s="28">
        <f>E26*F26</f>
        <v>28946.156159999999</v>
      </c>
      <c r="H26" s="18">
        <v>23.01</v>
      </c>
      <c r="I26" s="8">
        <f>E26*H26</f>
        <v>26346.95622</v>
      </c>
    </row>
    <row r="27" spans="3:15">
      <c r="C27" s="12">
        <f t="shared" si="0"/>
        <v>-11</v>
      </c>
      <c r="D27" s="22" t="s">
        <v>157</v>
      </c>
      <c r="E27" s="8"/>
      <c r="F27" s="18"/>
      <c r="G27" s="14">
        <f>+SUM(G24:G26)</f>
        <v>358892.57296000002</v>
      </c>
      <c r="H27" s="18"/>
      <c r="I27" s="8"/>
    </row>
    <row r="28" spans="3:15" ht="14.25">
      <c r="C28" s="12">
        <f t="shared" si="0"/>
        <v>-12</v>
      </c>
      <c r="D28" s="3" t="s">
        <v>41</v>
      </c>
      <c r="E28" s="8"/>
      <c r="F28" s="27"/>
      <c r="G28" s="28">
        <v>5865.4406865682704</v>
      </c>
      <c r="H28" s="27"/>
      <c r="I28" s="14"/>
    </row>
    <row r="29" spans="3:15">
      <c r="C29" s="12">
        <f t="shared" si="0"/>
        <v>-13</v>
      </c>
      <c r="D29" s="22" t="s">
        <v>43</v>
      </c>
      <c r="E29" s="8"/>
      <c r="F29" s="18"/>
      <c r="G29" s="14">
        <f>SUM(G27,G22,G28)</f>
        <v>1376688.0150765686</v>
      </c>
      <c r="H29" s="18"/>
      <c r="I29" s="8">
        <f>SUM(I24:I26,I19:I21)</f>
        <v>1430663.9380100002</v>
      </c>
      <c r="L29" s="41" t="s">
        <v>161</v>
      </c>
      <c r="M29" s="6"/>
      <c r="N29" s="6"/>
      <c r="O29" s="42">
        <v>0</v>
      </c>
    </row>
    <row r="31" spans="3:15">
      <c r="C31" s="43" t="s">
        <v>45</v>
      </c>
      <c r="D31" s="44" t="s">
        <v>46</v>
      </c>
      <c r="E31" s="44" t="s">
        <v>46</v>
      </c>
      <c r="F31" s="44" t="s">
        <v>46</v>
      </c>
      <c r="G31" s="44" t="s">
        <v>46</v>
      </c>
      <c r="H31" s="44" t="s">
        <v>46</v>
      </c>
      <c r="I31" s="45" t="s">
        <v>47</v>
      </c>
      <c r="L31" s="41" t="s">
        <v>55</v>
      </c>
      <c r="M31" s="6"/>
      <c r="N31" s="6"/>
      <c r="O31" s="80">
        <v>-0.03</v>
      </c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64C7E-4C1B-4CFB-A780-D5723FE3F1D5}">
  <sheetPr>
    <tabColor theme="3"/>
    <pageSetUpPr fitToPage="1"/>
  </sheetPr>
  <dimension ref="C3:O31"/>
  <sheetViews>
    <sheetView showGridLines="0" view="pageBreakPreview" zoomScaleNormal="10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162</v>
      </c>
      <c r="D9" s="2"/>
      <c r="E9" s="2"/>
      <c r="F9" s="2"/>
      <c r="G9" s="2"/>
      <c r="H9" s="2"/>
      <c r="I9" s="2"/>
    </row>
    <row r="10" spans="3:9">
      <c r="C10" s="2" t="s">
        <v>163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v>22284</v>
      </c>
      <c r="F17" s="13">
        <v>0</v>
      </c>
      <c r="G17" s="14">
        <f>+F17*$E17</f>
        <v>0</v>
      </c>
      <c r="H17" s="13">
        <v>0</v>
      </c>
      <c r="I17" s="14">
        <f>+H17*$E17</f>
        <v>0</v>
      </c>
      <c r="L17" s="15" t="str">
        <f>+_xlfn.CONCAT(C9,", ",C10)</f>
        <v>Non-Metered General Service, Schedule 40</v>
      </c>
      <c r="M17" s="16"/>
      <c r="N17" s="16"/>
      <c r="O17" s="17"/>
    </row>
    <row r="18" spans="3:15">
      <c r="C18" s="12">
        <f>+C17-1</f>
        <v>-2</v>
      </c>
      <c r="D18" s="3" t="s">
        <v>164</v>
      </c>
      <c r="E18" s="8">
        <v>1384.96</v>
      </c>
      <c r="F18" s="18">
        <v>2</v>
      </c>
      <c r="G18" s="8">
        <f>+F18*$E18</f>
        <v>2769.92</v>
      </c>
      <c r="H18" s="18">
        <f>F18+O27</f>
        <v>2</v>
      </c>
      <c r="I18" s="8">
        <f>+H18*$E18</f>
        <v>2769.92</v>
      </c>
      <c r="L18" s="19" t="s">
        <v>23</v>
      </c>
      <c r="O18" s="20">
        <f>I22</f>
        <v>1619004.274461</v>
      </c>
    </row>
    <row r="19" spans="3:15">
      <c r="C19" s="12">
        <f>+C18-1</f>
        <v>-3</v>
      </c>
      <c r="D19" s="22" t="s">
        <v>63</v>
      </c>
      <c r="E19" s="8">
        <v>14484473</v>
      </c>
      <c r="F19" s="27">
        <v>0.10005799999999999</v>
      </c>
      <c r="G19" s="8">
        <f>+F19*$E19</f>
        <v>1449287.399434</v>
      </c>
      <c r="H19" s="27">
        <v>0.111557</v>
      </c>
      <c r="I19" s="8">
        <f>+H19*$E19</f>
        <v>1615844.3544610001</v>
      </c>
      <c r="L19" s="19" t="s">
        <v>25</v>
      </c>
      <c r="O19" s="20">
        <f>G22*(1+O23)</f>
        <v>1619007.6683076336</v>
      </c>
    </row>
    <row r="20" spans="3:15">
      <c r="C20" s="12">
        <f>+C19-1</f>
        <v>-4</v>
      </c>
      <c r="D20" s="22" t="s">
        <v>165</v>
      </c>
      <c r="E20" s="8">
        <v>156</v>
      </c>
      <c r="F20" s="18">
        <v>2</v>
      </c>
      <c r="G20" s="8">
        <f>+F20*$E20</f>
        <v>312</v>
      </c>
      <c r="H20" s="18">
        <f>F20+O28</f>
        <v>2.5</v>
      </c>
      <c r="I20" s="8">
        <f>+H20*$E20</f>
        <v>390</v>
      </c>
      <c r="L20" s="24" t="s">
        <v>27</v>
      </c>
      <c r="M20" s="25"/>
      <c r="N20" s="25"/>
      <c r="O20" s="26">
        <f>+O18-O19</f>
        <v>-3.3938466336112469</v>
      </c>
    </row>
    <row r="21" spans="3:15" ht="14.25">
      <c r="C21" s="12">
        <f>+C20-1</f>
        <v>-5</v>
      </c>
      <c r="D21" s="3" t="s">
        <v>41</v>
      </c>
      <c r="F21" s="14"/>
      <c r="G21" s="28">
        <v>43853.771055712547</v>
      </c>
      <c r="I21" s="28"/>
    </row>
    <row r="22" spans="3:15">
      <c r="C22" s="12">
        <f>+C21-1</f>
        <v>-6</v>
      </c>
      <c r="D22" s="3" t="s">
        <v>43</v>
      </c>
      <c r="E22" s="8"/>
      <c r="F22" s="27"/>
      <c r="G22" s="14">
        <f>SUM(G17:G21)</f>
        <v>1496223.0904897125</v>
      </c>
      <c r="H22" s="14"/>
      <c r="I22" s="14">
        <f>SUM(I17:I21)</f>
        <v>1619004.274461</v>
      </c>
      <c r="L22" s="30" t="s">
        <v>30</v>
      </c>
      <c r="M22" s="16"/>
      <c r="N22" s="16"/>
      <c r="O22" s="31">
        <f>+O18/$G$22-1</f>
        <v>8.2060746657172112E-2</v>
      </c>
    </row>
    <row r="23" spans="3:15">
      <c r="L23" s="39" t="s">
        <v>25</v>
      </c>
      <c r="M23" s="25"/>
      <c r="N23" s="25"/>
      <c r="O23" s="51">
        <v>8.20630149329762E-2</v>
      </c>
    </row>
    <row r="24" spans="3:15">
      <c r="C24" s="43" t="s">
        <v>45</v>
      </c>
      <c r="D24" s="44" t="s">
        <v>46</v>
      </c>
      <c r="E24" s="44" t="s">
        <v>46</v>
      </c>
      <c r="F24" s="44" t="s">
        <v>46</v>
      </c>
      <c r="G24" s="44" t="s">
        <v>46</v>
      </c>
      <c r="H24" s="44" t="s">
        <v>46</v>
      </c>
      <c r="I24" s="45" t="s">
        <v>47</v>
      </c>
    </row>
    <row r="25" spans="3:15">
      <c r="L25" s="41" t="s">
        <v>161</v>
      </c>
      <c r="M25" s="6"/>
      <c r="N25" s="6"/>
      <c r="O25" s="42">
        <v>0</v>
      </c>
    </row>
    <row r="27" spans="3:15">
      <c r="G27" s="14"/>
      <c r="L27" s="30" t="s">
        <v>166</v>
      </c>
      <c r="M27" s="16"/>
      <c r="N27" s="16"/>
      <c r="O27" s="81">
        <v>0</v>
      </c>
    </row>
    <row r="28" spans="3:15">
      <c r="L28" s="39" t="s">
        <v>167</v>
      </c>
      <c r="M28" s="25"/>
      <c r="N28" s="25"/>
      <c r="O28" s="60">
        <v>0.5</v>
      </c>
    </row>
    <row r="30" spans="3:15">
      <c r="L30" s="41" t="s">
        <v>55</v>
      </c>
      <c r="M30" s="6"/>
      <c r="N30" s="6"/>
      <c r="O30" s="82">
        <v>0</v>
      </c>
    </row>
    <row r="31" spans="3:15">
      <c r="M31" s="8"/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C8CD5-BB80-413F-8ABC-A829F522272E}">
  <sheetPr>
    <tabColor theme="3"/>
    <pageSetUpPr autoPageBreaks="0" fitToPage="1"/>
  </sheetPr>
  <dimension ref="A1:AA84"/>
  <sheetViews>
    <sheetView showGridLines="0" view="pageBreakPreview" topLeftCell="A40" zoomScaleNormal="100" zoomScaleSheetLayoutView="100" workbookViewId="0">
      <selection sqref="A1:XFD1048576"/>
    </sheetView>
  </sheetViews>
  <sheetFormatPr defaultRowHeight="15" customHeight="1"/>
  <cols>
    <col min="1" max="2" width="1.7109375" style="103" customWidth="1"/>
    <col min="3" max="3" width="7.7109375" style="103" customWidth="1"/>
    <col min="4" max="4" width="36.7109375" style="103" customWidth="1"/>
    <col min="5" max="9" width="13.7109375" style="103" customWidth="1"/>
    <col min="10" max="11" width="1.7109375" style="103" customWidth="1"/>
    <col min="12" max="15" width="13.7109375" style="103" customWidth="1"/>
    <col min="16" max="255" width="9.140625" style="103"/>
    <col min="256" max="256" width="4.85546875" style="103" customWidth="1"/>
    <col min="257" max="257" width="19" style="103" customWidth="1"/>
    <col min="258" max="258" width="11" style="103" customWidth="1"/>
    <col min="259" max="259" width="10" style="103" bestFit="1" customWidth="1"/>
    <col min="260" max="260" width="10.28515625" style="103" customWidth="1"/>
    <col min="261" max="261" width="11.28515625" style="103" bestFit="1" customWidth="1"/>
    <col min="262" max="263" width="10.28515625" style="103" customWidth="1"/>
    <col min="264" max="264" width="7.42578125" style="103" bestFit="1" customWidth="1"/>
    <col min="265" max="511" width="9.140625" style="103"/>
    <col min="512" max="512" width="4.85546875" style="103" customWidth="1"/>
    <col min="513" max="513" width="19" style="103" customWidth="1"/>
    <col min="514" max="514" width="11" style="103" customWidth="1"/>
    <col min="515" max="515" width="10" style="103" bestFit="1" customWidth="1"/>
    <col min="516" max="516" width="10.28515625" style="103" customWidth="1"/>
    <col min="517" max="517" width="11.28515625" style="103" bestFit="1" customWidth="1"/>
    <col min="518" max="519" width="10.28515625" style="103" customWidth="1"/>
    <col min="520" max="520" width="7.42578125" style="103" bestFit="1" customWidth="1"/>
    <col min="521" max="767" width="9.140625" style="103"/>
    <col min="768" max="768" width="4.85546875" style="103" customWidth="1"/>
    <col min="769" max="769" width="19" style="103" customWidth="1"/>
    <col min="770" max="770" width="11" style="103" customWidth="1"/>
    <col min="771" max="771" width="10" style="103" bestFit="1" customWidth="1"/>
    <col min="772" max="772" width="10.28515625" style="103" customWidth="1"/>
    <col min="773" max="773" width="11.28515625" style="103" bestFit="1" customWidth="1"/>
    <col min="774" max="775" width="10.28515625" style="103" customWidth="1"/>
    <col min="776" max="776" width="7.42578125" style="103" bestFit="1" customWidth="1"/>
    <col min="777" max="1023" width="9.140625" style="103"/>
    <col min="1024" max="1024" width="4.85546875" style="103" customWidth="1"/>
    <col min="1025" max="1025" width="19" style="103" customWidth="1"/>
    <col min="1026" max="1026" width="11" style="103" customWidth="1"/>
    <col min="1027" max="1027" width="10" style="103" bestFit="1" customWidth="1"/>
    <col min="1028" max="1028" width="10.28515625" style="103" customWidth="1"/>
    <col min="1029" max="1029" width="11.28515625" style="103" bestFit="1" customWidth="1"/>
    <col min="1030" max="1031" width="10.28515625" style="103" customWidth="1"/>
    <col min="1032" max="1032" width="7.42578125" style="103" bestFit="1" customWidth="1"/>
    <col min="1033" max="1279" width="9.140625" style="103"/>
    <col min="1280" max="1280" width="4.85546875" style="103" customWidth="1"/>
    <col min="1281" max="1281" width="19" style="103" customWidth="1"/>
    <col min="1282" max="1282" width="11" style="103" customWidth="1"/>
    <col min="1283" max="1283" width="10" style="103" bestFit="1" customWidth="1"/>
    <col min="1284" max="1284" width="10.28515625" style="103" customWidth="1"/>
    <col min="1285" max="1285" width="11.28515625" style="103" bestFit="1" customWidth="1"/>
    <col min="1286" max="1287" width="10.28515625" style="103" customWidth="1"/>
    <col min="1288" max="1288" width="7.42578125" style="103" bestFit="1" customWidth="1"/>
    <col min="1289" max="1535" width="9.140625" style="103"/>
    <col min="1536" max="1536" width="4.85546875" style="103" customWidth="1"/>
    <col min="1537" max="1537" width="19" style="103" customWidth="1"/>
    <col min="1538" max="1538" width="11" style="103" customWidth="1"/>
    <col min="1539" max="1539" width="10" style="103" bestFit="1" customWidth="1"/>
    <col min="1540" max="1540" width="10.28515625" style="103" customWidth="1"/>
    <col min="1541" max="1541" width="11.28515625" style="103" bestFit="1" customWidth="1"/>
    <col min="1542" max="1543" width="10.28515625" style="103" customWidth="1"/>
    <col min="1544" max="1544" width="7.42578125" style="103" bestFit="1" customWidth="1"/>
    <col min="1545" max="1791" width="9.140625" style="103"/>
    <col min="1792" max="1792" width="4.85546875" style="103" customWidth="1"/>
    <col min="1793" max="1793" width="19" style="103" customWidth="1"/>
    <col min="1794" max="1794" width="11" style="103" customWidth="1"/>
    <col min="1795" max="1795" width="10" style="103" bestFit="1" customWidth="1"/>
    <col min="1796" max="1796" width="10.28515625" style="103" customWidth="1"/>
    <col min="1797" max="1797" width="11.28515625" style="103" bestFit="1" customWidth="1"/>
    <col min="1798" max="1799" width="10.28515625" style="103" customWidth="1"/>
    <col min="1800" max="1800" width="7.42578125" style="103" bestFit="1" customWidth="1"/>
    <col min="1801" max="2047" width="9.140625" style="103"/>
    <col min="2048" max="2048" width="4.85546875" style="103" customWidth="1"/>
    <col min="2049" max="2049" width="19" style="103" customWidth="1"/>
    <col min="2050" max="2050" width="11" style="103" customWidth="1"/>
    <col min="2051" max="2051" width="10" style="103" bestFit="1" customWidth="1"/>
    <col min="2052" max="2052" width="10.28515625" style="103" customWidth="1"/>
    <col min="2053" max="2053" width="11.28515625" style="103" bestFit="1" customWidth="1"/>
    <col min="2054" max="2055" width="10.28515625" style="103" customWidth="1"/>
    <col min="2056" max="2056" width="7.42578125" style="103" bestFit="1" customWidth="1"/>
    <col min="2057" max="2303" width="9.140625" style="103"/>
    <col min="2304" max="2304" width="4.85546875" style="103" customWidth="1"/>
    <col min="2305" max="2305" width="19" style="103" customWidth="1"/>
    <col min="2306" max="2306" width="11" style="103" customWidth="1"/>
    <col min="2307" max="2307" width="10" style="103" bestFit="1" customWidth="1"/>
    <col min="2308" max="2308" width="10.28515625" style="103" customWidth="1"/>
    <col min="2309" max="2309" width="11.28515625" style="103" bestFit="1" customWidth="1"/>
    <col min="2310" max="2311" width="10.28515625" style="103" customWidth="1"/>
    <col min="2312" max="2312" width="7.42578125" style="103" bestFit="1" customWidth="1"/>
    <col min="2313" max="2559" width="9.140625" style="103"/>
    <col min="2560" max="2560" width="4.85546875" style="103" customWidth="1"/>
    <col min="2561" max="2561" width="19" style="103" customWidth="1"/>
    <col min="2562" max="2562" width="11" style="103" customWidth="1"/>
    <col min="2563" max="2563" width="10" style="103" bestFit="1" customWidth="1"/>
    <col min="2564" max="2564" width="10.28515625" style="103" customWidth="1"/>
    <col min="2565" max="2565" width="11.28515625" style="103" bestFit="1" customWidth="1"/>
    <col min="2566" max="2567" width="10.28515625" style="103" customWidth="1"/>
    <col min="2568" max="2568" width="7.42578125" style="103" bestFit="1" customWidth="1"/>
    <col min="2569" max="2815" width="9.140625" style="103"/>
    <col min="2816" max="2816" width="4.85546875" style="103" customWidth="1"/>
    <col min="2817" max="2817" width="19" style="103" customWidth="1"/>
    <col min="2818" max="2818" width="11" style="103" customWidth="1"/>
    <col min="2819" max="2819" width="10" style="103" bestFit="1" customWidth="1"/>
    <col min="2820" max="2820" width="10.28515625" style="103" customWidth="1"/>
    <col min="2821" max="2821" width="11.28515625" style="103" bestFit="1" customWidth="1"/>
    <col min="2822" max="2823" width="10.28515625" style="103" customWidth="1"/>
    <col min="2824" max="2824" width="7.42578125" style="103" bestFit="1" customWidth="1"/>
    <col min="2825" max="3071" width="9.140625" style="103"/>
    <col min="3072" max="3072" width="4.85546875" style="103" customWidth="1"/>
    <col min="3073" max="3073" width="19" style="103" customWidth="1"/>
    <col min="3074" max="3074" width="11" style="103" customWidth="1"/>
    <col min="3075" max="3075" width="10" style="103" bestFit="1" customWidth="1"/>
    <col min="3076" max="3076" width="10.28515625" style="103" customWidth="1"/>
    <col min="3077" max="3077" width="11.28515625" style="103" bestFit="1" customWidth="1"/>
    <col min="3078" max="3079" width="10.28515625" style="103" customWidth="1"/>
    <col min="3080" max="3080" width="7.42578125" style="103" bestFit="1" customWidth="1"/>
    <col min="3081" max="3327" width="9.140625" style="103"/>
    <col min="3328" max="3328" width="4.85546875" style="103" customWidth="1"/>
    <col min="3329" max="3329" width="19" style="103" customWidth="1"/>
    <col min="3330" max="3330" width="11" style="103" customWidth="1"/>
    <col min="3331" max="3331" width="10" style="103" bestFit="1" customWidth="1"/>
    <col min="3332" max="3332" width="10.28515625" style="103" customWidth="1"/>
    <col min="3333" max="3333" width="11.28515625" style="103" bestFit="1" customWidth="1"/>
    <col min="3334" max="3335" width="10.28515625" style="103" customWidth="1"/>
    <col min="3336" max="3336" width="7.42578125" style="103" bestFit="1" customWidth="1"/>
    <col min="3337" max="3583" width="9.140625" style="103"/>
    <col min="3584" max="3584" width="4.85546875" style="103" customWidth="1"/>
    <col min="3585" max="3585" width="19" style="103" customWidth="1"/>
    <col min="3586" max="3586" width="11" style="103" customWidth="1"/>
    <col min="3587" max="3587" width="10" style="103" bestFit="1" customWidth="1"/>
    <col min="3588" max="3588" width="10.28515625" style="103" customWidth="1"/>
    <col min="3589" max="3589" width="11.28515625" style="103" bestFit="1" customWidth="1"/>
    <col min="3590" max="3591" width="10.28515625" style="103" customWidth="1"/>
    <col min="3592" max="3592" width="7.42578125" style="103" bestFit="1" customWidth="1"/>
    <col min="3593" max="3839" width="9.140625" style="103"/>
    <col min="3840" max="3840" width="4.85546875" style="103" customWidth="1"/>
    <col min="3841" max="3841" width="19" style="103" customWidth="1"/>
    <col min="3842" max="3842" width="11" style="103" customWidth="1"/>
    <col min="3843" max="3843" width="10" style="103" bestFit="1" customWidth="1"/>
    <col min="3844" max="3844" width="10.28515625" style="103" customWidth="1"/>
    <col min="3845" max="3845" width="11.28515625" style="103" bestFit="1" customWidth="1"/>
    <col min="3846" max="3847" width="10.28515625" style="103" customWidth="1"/>
    <col min="3848" max="3848" width="7.42578125" style="103" bestFit="1" customWidth="1"/>
    <col min="3849" max="4095" width="9.140625" style="103"/>
    <col min="4096" max="4096" width="4.85546875" style="103" customWidth="1"/>
    <col min="4097" max="4097" width="19" style="103" customWidth="1"/>
    <col min="4098" max="4098" width="11" style="103" customWidth="1"/>
    <col min="4099" max="4099" width="10" style="103" bestFit="1" customWidth="1"/>
    <col min="4100" max="4100" width="10.28515625" style="103" customWidth="1"/>
    <col min="4101" max="4101" width="11.28515625" style="103" bestFit="1" customWidth="1"/>
    <col min="4102" max="4103" width="10.28515625" style="103" customWidth="1"/>
    <col min="4104" max="4104" width="7.42578125" style="103" bestFit="1" customWidth="1"/>
    <col min="4105" max="4351" width="9.140625" style="103"/>
    <col min="4352" max="4352" width="4.85546875" style="103" customWidth="1"/>
    <col min="4353" max="4353" width="19" style="103" customWidth="1"/>
    <col min="4354" max="4354" width="11" style="103" customWidth="1"/>
    <col min="4355" max="4355" width="10" style="103" bestFit="1" customWidth="1"/>
    <col min="4356" max="4356" width="10.28515625" style="103" customWidth="1"/>
    <col min="4357" max="4357" width="11.28515625" style="103" bestFit="1" customWidth="1"/>
    <col min="4358" max="4359" width="10.28515625" style="103" customWidth="1"/>
    <col min="4360" max="4360" width="7.42578125" style="103" bestFit="1" customWidth="1"/>
    <col min="4361" max="4607" width="9.140625" style="103"/>
    <col min="4608" max="4608" width="4.85546875" style="103" customWidth="1"/>
    <col min="4609" max="4609" width="19" style="103" customWidth="1"/>
    <col min="4610" max="4610" width="11" style="103" customWidth="1"/>
    <col min="4611" max="4611" width="10" style="103" bestFit="1" customWidth="1"/>
    <col min="4612" max="4612" width="10.28515625" style="103" customWidth="1"/>
    <col min="4613" max="4613" width="11.28515625" style="103" bestFit="1" customWidth="1"/>
    <col min="4614" max="4615" width="10.28515625" style="103" customWidth="1"/>
    <col min="4616" max="4616" width="7.42578125" style="103" bestFit="1" customWidth="1"/>
    <col min="4617" max="4863" width="9.140625" style="103"/>
    <col min="4864" max="4864" width="4.85546875" style="103" customWidth="1"/>
    <col min="4865" max="4865" width="19" style="103" customWidth="1"/>
    <col min="4866" max="4866" width="11" style="103" customWidth="1"/>
    <col min="4867" max="4867" width="10" style="103" bestFit="1" customWidth="1"/>
    <col min="4868" max="4868" width="10.28515625" style="103" customWidth="1"/>
    <col min="4869" max="4869" width="11.28515625" style="103" bestFit="1" customWidth="1"/>
    <col min="4870" max="4871" width="10.28515625" style="103" customWidth="1"/>
    <col min="4872" max="4872" width="7.42578125" style="103" bestFit="1" customWidth="1"/>
    <col min="4873" max="5119" width="9.140625" style="103"/>
    <col min="5120" max="5120" width="4.85546875" style="103" customWidth="1"/>
    <col min="5121" max="5121" width="19" style="103" customWidth="1"/>
    <col min="5122" max="5122" width="11" style="103" customWidth="1"/>
    <col min="5123" max="5123" width="10" style="103" bestFit="1" customWidth="1"/>
    <col min="5124" max="5124" width="10.28515625" style="103" customWidth="1"/>
    <col min="5125" max="5125" width="11.28515625" style="103" bestFit="1" customWidth="1"/>
    <col min="5126" max="5127" width="10.28515625" style="103" customWidth="1"/>
    <col min="5128" max="5128" width="7.42578125" style="103" bestFit="1" customWidth="1"/>
    <col min="5129" max="5375" width="9.140625" style="103"/>
    <col min="5376" max="5376" width="4.85546875" style="103" customWidth="1"/>
    <col min="5377" max="5377" width="19" style="103" customWidth="1"/>
    <col min="5378" max="5378" width="11" style="103" customWidth="1"/>
    <col min="5379" max="5379" width="10" style="103" bestFit="1" customWidth="1"/>
    <col min="5380" max="5380" width="10.28515625" style="103" customWidth="1"/>
    <col min="5381" max="5381" width="11.28515625" style="103" bestFit="1" customWidth="1"/>
    <col min="5382" max="5383" width="10.28515625" style="103" customWidth="1"/>
    <col min="5384" max="5384" width="7.42578125" style="103" bestFit="1" customWidth="1"/>
    <col min="5385" max="5631" width="9.140625" style="103"/>
    <col min="5632" max="5632" width="4.85546875" style="103" customWidth="1"/>
    <col min="5633" max="5633" width="19" style="103" customWidth="1"/>
    <col min="5634" max="5634" width="11" style="103" customWidth="1"/>
    <col min="5635" max="5635" width="10" style="103" bestFit="1" customWidth="1"/>
    <col min="5636" max="5636" width="10.28515625" style="103" customWidth="1"/>
    <col min="5637" max="5637" width="11.28515625" style="103" bestFit="1" customWidth="1"/>
    <col min="5638" max="5639" width="10.28515625" style="103" customWidth="1"/>
    <col min="5640" max="5640" width="7.42578125" style="103" bestFit="1" customWidth="1"/>
    <col min="5641" max="5887" width="9.140625" style="103"/>
    <col min="5888" max="5888" width="4.85546875" style="103" customWidth="1"/>
    <col min="5889" max="5889" width="19" style="103" customWidth="1"/>
    <col min="5890" max="5890" width="11" style="103" customWidth="1"/>
    <col min="5891" max="5891" width="10" style="103" bestFit="1" customWidth="1"/>
    <col min="5892" max="5892" width="10.28515625" style="103" customWidth="1"/>
    <col min="5893" max="5893" width="11.28515625" style="103" bestFit="1" customWidth="1"/>
    <col min="5894" max="5895" width="10.28515625" style="103" customWidth="1"/>
    <col min="5896" max="5896" width="7.42578125" style="103" bestFit="1" customWidth="1"/>
    <col min="5897" max="6143" width="9.140625" style="103"/>
    <col min="6144" max="6144" width="4.85546875" style="103" customWidth="1"/>
    <col min="6145" max="6145" width="19" style="103" customWidth="1"/>
    <col min="6146" max="6146" width="11" style="103" customWidth="1"/>
    <col min="6147" max="6147" width="10" style="103" bestFit="1" customWidth="1"/>
    <col min="6148" max="6148" width="10.28515625" style="103" customWidth="1"/>
    <col min="6149" max="6149" width="11.28515625" style="103" bestFit="1" customWidth="1"/>
    <col min="6150" max="6151" width="10.28515625" style="103" customWidth="1"/>
    <col min="6152" max="6152" width="7.42578125" style="103" bestFit="1" customWidth="1"/>
    <col min="6153" max="6399" width="9.140625" style="103"/>
    <col min="6400" max="6400" width="4.85546875" style="103" customWidth="1"/>
    <col min="6401" max="6401" width="19" style="103" customWidth="1"/>
    <col min="6402" max="6402" width="11" style="103" customWidth="1"/>
    <col min="6403" max="6403" width="10" style="103" bestFit="1" customWidth="1"/>
    <col min="6404" max="6404" width="10.28515625" style="103" customWidth="1"/>
    <col min="6405" max="6405" width="11.28515625" style="103" bestFit="1" customWidth="1"/>
    <col min="6406" max="6407" width="10.28515625" style="103" customWidth="1"/>
    <col min="6408" max="6408" width="7.42578125" style="103" bestFit="1" customWidth="1"/>
    <col min="6409" max="6655" width="9.140625" style="103"/>
    <col min="6656" max="6656" width="4.85546875" style="103" customWidth="1"/>
    <col min="6657" max="6657" width="19" style="103" customWidth="1"/>
    <col min="6658" max="6658" width="11" style="103" customWidth="1"/>
    <col min="6659" max="6659" width="10" style="103" bestFit="1" customWidth="1"/>
    <col min="6660" max="6660" width="10.28515625" style="103" customWidth="1"/>
    <col min="6661" max="6661" width="11.28515625" style="103" bestFit="1" customWidth="1"/>
    <col min="6662" max="6663" width="10.28515625" style="103" customWidth="1"/>
    <col min="6664" max="6664" width="7.42578125" style="103" bestFit="1" customWidth="1"/>
    <col min="6665" max="6911" width="9.140625" style="103"/>
    <col min="6912" max="6912" width="4.85546875" style="103" customWidth="1"/>
    <col min="6913" max="6913" width="19" style="103" customWidth="1"/>
    <col min="6914" max="6914" width="11" style="103" customWidth="1"/>
    <col min="6915" max="6915" width="10" style="103" bestFit="1" customWidth="1"/>
    <col min="6916" max="6916" width="10.28515625" style="103" customWidth="1"/>
    <col min="6917" max="6917" width="11.28515625" style="103" bestFit="1" customWidth="1"/>
    <col min="6918" max="6919" width="10.28515625" style="103" customWidth="1"/>
    <col min="6920" max="6920" width="7.42578125" style="103" bestFit="1" customWidth="1"/>
    <col min="6921" max="7167" width="9.140625" style="103"/>
    <col min="7168" max="7168" width="4.85546875" style="103" customWidth="1"/>
    <col min="7169" max="7169" width="19" style="103" customWidth="1"/>
    <col min="7170" max="7170" width="11" style="103" customWidth="1"/>
    <col min="7171" max="7171" width="10" style="103" bestFit="1" customWidth="1"/>
    <col min="7172" max="7172" width="10.28515625" style="103" customWidth="1"/>
    <col min="7173" max="7173" width="11.28515625" style="103" bestFit="1" customWidth="1"/>
    <col min="7174" max="7175" width="10.28515625" style="103" customWidth="1"/>
    <col min="7176" max="7176" width="7.42578125" style="103" bestFit="1" customWidth="1"/>
    <col min="7177" max="7423" width="9.140625" style="103"/>
    <col min="7424" max="7424" width="4.85546875" style="103" customWidth="1"/>
    <col min="7425" max="7425" width="19" style="103" customWidth="1"/>
    <col min="7426" max="7426" width="11" style="103" customWidth="1"/>
    <col min="7427" max="7427" width="10" style="103" bestFit="1" customWidth="1"/>
    <col min="7428" max="7428" width="10.28515625" style="103" customWidth="1"/>
    <col min="7429" max="7429" width="11.28515625" style="103" bestFit="1" customWidth="1"/>
    <col min="7430" max="7431" width="10.28515625" style="103" customWidth="1"/>
    <col min="7432" max="7432" width="7.42578125" style="103" bestFit="1" customWidth="1"/>
    <col min="7433" max="7679" width="9.140625" style="103"/>
    <col min="7680" max="7680" width="4.85546875" style="103" customWidth="1"/>
    <col min="7681" max="7681" width="19" style="103" customWidth="1"/>
    <col min="7682" max="7682" width="11" style="103" customWidth="1"/>
    <col min="7683" max="7683" width="10" style="103" bestFit="1" customWidth="1"/>
    <col min="7684" max="7684" width="10.28515625" style="103" customWidth="1"/>
    <col min="7685" max="7685" width="11.28515625" style="103" bestFit="1" customWidth="1"/>
    <col min="7686" max="7687" width="10.28515625" style="103" customWidth="1"/>
    <col min="7688" max="7688" width="7.42578125" style="103" bestFit="1" customWidth="1"/>
    <col min="7689" max="7935" width="9.140625" style="103"/>
    <col min="7936" max="7936" width="4.85546875" style="103" customWidth="1"/>
    <col min="7937" max="7937" width="19" style="103" customWidth="1"/>
    <col min="7938" max="7938" width="11" style="103" customWidth="1"/>
    <col min="7939" max="7939" width="10" style="103" bestFit="1" customWidth="1"/>
    <col min="7940" max="7940" width="10.28515625" style="103" customWidth="1"/>
    <col min="7941" max="7941" width="11.28515625" style="103" bestFit="1" customWidth="1"/>
    <col min="7942" max="7943" width="10.28515625" style="103" customWidth="1"/>
    <col min="7944" max="7944" width="7.42578125" style="103" bestFit="1" customWidth="1"/>
    <col min="7945" max="8191" width="9.140625" style="103"/>
    <col min="8192" max="8192" width="4.85546875" style="103" customWidth="1"/>
    <col min="8193" max="8193" width="19" style="103" customWidth="1"/>
    <col min="8194" max="8194" width="11" style="103" customWidth="1"/>
    <col min="8195" max="8195" width="10" style="103" bestFit="1" customWidth="1"/>
    <col min="8196" max="8196" width="10.28515625" style="103" customWidth="1"/>
    <col min="8197" max="8197" width="11.28515625" style="103" bestFit="1" customWidth="1"/>
    <col min="8198" max="8199" width="10.28515625" style="103" customWidth="1"/>
    <col min="8200" max="8200" width="7.42578125" style="103" bestFit="1" customWidth="1"/>
    <col min="8201" max="8447" width="9.140625" style="103"/>
    <col min="8448" max="8448" width="4.85546875" style="103" customWidth="1"/>
    <col min="8449" max="8449" width="19" style="103" customWidth="1"/>
    <col min="8450" max="8450" width="11" style="103" customWidth="1"/>
    <col min="8451" max="8451" width="10" style="103" bestFit="1" customWidth="1"/>
    <col min="8452" max="8452" width="10.28515625" style="103" customWidth="1"/>
    <col min="8453" max="8453" width="11.28515625" style="103" bestFit="1" customWidth="1"/>
    <col min="8454" max="8455" width="10.28515625" style="103" customWidth="1"/>
    <col min="8456" max="8456" width="7.42578125" style="103" bestFit="1" customWidth="1"/>
    <col min="8457" max="8703" width="9.140625" style="103"/>
    <col min="8704" max="8704" width="4.85546875" style="103" customWidth="1"/>
    <col min="8705" max="8705" width="19" style="103" customWidth="1"/>
    <col min="8706" max="8706" width="11" style="103" customWidth="1"/>
    <col min="8707" max="8707" width="10" style="103" bestFit="1" customWidth="1"/>
    <col min="8708" max="8708" width="10.28515625" style="103" customWidth="1"/>
    <col min="8709" max="8709" width="11.28515625" style="103" bestFit="1" customWidth="1"/>
    <col min="8710" max="8711" width="10.28515625" style="103" customWidth="1"/>
    <col min="8712" max="8712" width="7.42578125" style="103" bestFit="1" customWidth="1"/>
    <col min="8713" max="8959" width="9.140625" style="103"/>
    <col min="8960" max="8960" width="4.85546875" style="103" customWidth="1"/>
    <col min="8961" max="8961" width="19" style="103" customWidth="1"/>
    <col min="8962" max="8962" width="11" style="103" customWidth="1"/>
    <col min="8963" max="8963" width="10" style="103" bestFit="1" customWidth="1"/>
    <col min="8964" max="8964" width="10.28515625" style="103" customWidth="1"/>
    <col min="8965" max="8965" width="11.28515625" style="103" bestFit="1" customWidth="1"/>
    <col min="8966" max="8967" width="10.28515625" style="103" customWidth="1"/>
    <col min="8968" max="8968" width="7.42578125" style="103" bestFit="1" customWidth="1"/>
    <col min="8969" max="9215" width="9.140625" style="103"/>
    <col min="9216" max="9216" width="4.85546875" style="103" customWidth="1"/>
    <col min="9217" max="9217" width="19" style="103" customWidth="1"/>
    <col min="9218" max="9218" width="11" style="103" customWidth="1"/>
    <col min="9219" max="9219" width="10" style="103" bestFit="1" customWidth="1"/>
    <col min="9220" max="9220" width="10.28515625" style="103" customWidth="1"/>
    <col min="9221" max="9221" width="11.28515625" style="103" bestFit="1" customWidth="1"/>
    <col min="9222" max="9223" width="10.28515625" style="103" customWidth="1"/>
    <col min="9224" max="9224" width="7.42578125" style="103" bestFit="1" customWidth="1"/>
    <col min="9225" max="9471" width="9.140625" style="103"/>
    <col min="9472" max="9472" width="4.85546875" style="103" customWidth="1"/>
    <col min="9473" max="9473" width="19" style="103" customWidth="1"/>
    <col min="9474" max="9474" width="11" style="103" customWidth="1"/>
    <col min="9475" max="9475" width="10" style="103" bestFit="1" customWidth="1"/>
    <col min="9476" max="9476" width="10.28515625" style="103" customWidth="1"/>
    <col min="9477" max="9477" width="11.28515625" style="103" bestFit="1" customWidth="1"/>
    <col min="9478" max="9479" width="10.28515625" style="103" customWidth="1"/>
    <col min="9480" max="9480" width="7.42578125" style="103" bestFit="1" customWidth="1"/>
    <col min="9481" max="9727" width="9.140625" style="103"/>
    <col min="9728" max="9728" width="4.85546875" style="103" customWidth="1"/>
    <col min="9729" max="9729" width="19" style="103" customWidth="1"/>
    <col min="9730" max="9730" width="11" style="103" customWidth="1"/>
    <col min="9731" max="9731" width="10" style="103" bestFit="1" customWidth="1"/>
    <col min="9732" max="9732" width="10.28515625" style="103" customWidth="1"/>
    <col min="9733" max="9733" width="11.28515625" style="103" bestFit="1" customWidth="1"/>
    <col min="9734" max="9735" width="10.28515625" style="103" customWidth="1"/>
    <col min="9736" max="9736" width="7.42578125" style="103" bestFit="1" customWidth="1"/>
    <col min="9737" max="9983" width="9.140625" style="103"/>
    <col min="9984" max="9984" width="4.85546875" style="103" customWidth="1"/>
    <col min="9985" max="9985" width="19" style="103" customWidth="1"/>
    <col min="9986" max="9986" width="11" style="103" customWidth="1"/>
    <col min="9987" max="9987" width="10" style="103" bestFit="1" customWidth="1"/>
    <col min="9988" max="9988" width="10.28515625" style="103" customWidth="1"/>
    <col min="9989" max="9989" width="11.28515625" style="103" bestFit="1" customWidth="1"/>
    <col min="9990" max="9991" width="10.28515625" style="103" customWidth="1"/>
    <col min="9992" max="9992" width="7.42578125" style="103" bestFit="1" customWidth="1"/>
    <col min="9993" max="10239" width="9.140625" style="103"/>
    <col min="10240" max="10240" width="4.85546875" style="103" customWidth="1"/>
    <col min="10241" max="10241" width="19" style="103" customWidth="1"/>
    <col min="10242" max="10242" width="11" style="103" customWidth="1"/>
    <col min="10243" max="10243" width="10" style="103" bestFit="1" customWidth="1"/>
    <col min="10244" max="10244" width="10.28515625" style="103" customWidth="1"/>
    <col min="10245" max="10245" width="11.28515625" style="103" bestFit="1" customWidth="1"/>
    <col min="10246" max="10247" width="10.28515625" style="103" customWidth="1"/>
    <col min="10248" max="10248" width="7.42578125" style="103" bestFit="1" customWidth="1"/>
    <col min="10249" max="10495" width="9.140625" style="103"/>
    <col min="10496" max="10496" width="4.85546875" style="103" customWidth="1"/>
    <col min="10497" max="10497" width="19" style="103" customWidth="1"/>
    <col min="10498" max="10498" width="11" style="103" customWidth="1"/>
    <col min="10499" max="10499" width="10" style="103" bestFit="1" customWidth="1"/>
    <col min="10500" max="10500" width="10.28515625" style="103" customWidth="1"/>
    <col min="10501" max="10501" width="11.28515625" style="103" bestFit="1" customWidth="1"/>
    <col min="10502" max="10503" width="10.28515625" style="103" customWidth="1"/>
    <col min="10504" max="10504" width="7.42578125" style="103" bestFit="1" customWidth="1"/>
    <col min="10505" max="10751" width="9.140625" style="103"/>
    <col min="10752" max="10752" width="4.85546875" style="103" customWidth="1"/>
    <col min="10753" max="10753" width="19" style="103" customWidth="1"/>
    <col min="10754" max="10754" width="11" style="103" customWidth="1"/>
    <col min="10755" max="10755" width="10" style="103" bestFit="1" customWidth="1"/>
    <col min="10756" max="10756" width="10.28515625" style="103" customWidth="1"/>
    <col min="10757" max="10757" width="11.28515625" style="103" bestFit="1" customWidth="1"/>
    <col min="10758" max="10759" width="10.28515625" style="103" customWidth="1"/>
    <col min="10760" max="10760" width="7.42578125" style="103" bestFit="1" customWidth="1"/>
    <col min="10761" max="11007" width="9.140625" style="103"/>
    <col min="11008" max="11008" width="4.85546875" style="103" customWidth="1"/>
    <col min="11009" max="11009" width="19" style="103" customWidth="1"/>
    <col min="11010" max="11010" width="11" style="103" customWidth="1"/>
    <col min="11011" max="11011" width="10" style="103" bestFit="1" customWidth="1"/>
    <col min="11012" max="11012" width="10.28515625" style="103" customWidth="1"/>
    <col min="11013" max="11013" width="11.28515625" style="103" bestFit="1" customWidth="1"/>
    <col min="11014" max="11015" width="10.28515625" style="103" customWidth="1"/>
    <col min="11016" max="11016" width="7.42578125" style="103" bestFit="1" customWidth="1"/>
    <col min="11017" max="11263" width="9.140625" style="103"/>
    <col min="11264" max="11264" width="4.85546875" style="103" customWidth="1"/>
    <col min="11265" max="11265" width="19" style="103" customWidth="1"/>
    <col min="11266" max="11266" width="11" style="103" customWidth="1"/>
    <col min="11267" max="11267" width="10" style="103" bestFit="1" customWidth="1"/>
    <col min="11268" max="11268" width="10.28515625" style="103" customWidth="1"/>
    <col min="11269" max="11269" width="11.28515625" style="103" bestFit="1" customWidth="1"/>
    <col min="11270" max="11271" width="10.28515625" style="103" customWidth="1"/>
    <col min="11272" max="11272" width="7.42578125" style="103" bestFit="1" customWidth="1"/>
    <col min="11273" max="11519" width="9.140625" style="103"/>
    <col min="11520" max="11520" width="4.85546875" style="103" customWidth="1"/>
    <col min="11521" max="11521" width="19" style="103" customWidth="1"/>
    <col min="11522" max="11522" width="11" style="103" customWidth="1"/>
    <col min="11523" max="11523" width="10" style="103" bestFit="1" customWidth="1"/>
    <col min="11524" max="11524" width="10.28515625" style="103" customWidth="1"/>
    <col min="11525" max="11525" width="11.28515625" style="103" bestFit="1" customWidth="1"/>
    <col min="11526" max="11527" width="10.28515625" style="103" customWidth="1"/>
    <col min="11528" max="11528" width="7.42578125" style="103" bestFit="1" customWidth="1"/>
    <col min="11529" max="11775" width="9.140625" style="103"/>
    <col min="11776" max="11776" width="4.85546875" style="103" customWidth="1"/>
    <col min="11777" max="11777" width="19" style="103" customWidth="1"/>
    <col min="11778" max="11778" width="11" style="103" customWidth="1"/>
    <col min="11779" max="11779" width="10" style="103" bestFit="1" customWidth="1"/>
    <col min="11780" max="11780" width="10.28515625" style="103" customWidth="1"/>
    <col min="11781" max="11781" width="11.28515625" style="103" bestFit="1" customWidth="1"/>
    <col min="11782" max="11783" width="10.28515625" style="103" customWidth="1"/>
    <col min="11784" max="11784" width="7.42578125" style="103" bestFit="1" customWidth="1"/>
    <col min="11785" max="12031" width="9.140625" style="103"/>
    <col min="12032" max="12032" width="4.85546875" style="103" customWidth="1"/>
    <col min="12033" max="12033" width="19" style="103" customWidth="1"/>
    <col min="12034" max="12034" width="11" style="103" customWidth="1"/>
    <col min="12035" max="12035" width="10" style="103" bestFit="1" customWidth="1"/>
    <col min="12036" max="12036" width="10.28515625" style="103" customWidth="1"/>
    <col min="12037" max="12037" width="11.28515625" style="103" bestFit="1" customWidth="1"/>
    <col min="12038" max="12039" width="10.28515625" style="103" customWidth="1"/>
    <col min="12040" max="12040" width="7.42578125" style="103" bestFit="1" customWidth="1"/>
    <col min="12041" max="12287" width="9.140625" style="103"/>
    <col min="12288" max="12288" width="4.85546875" style="103" customWidth="1"/>
    <col min="12289" max="12289" width="19" style="103" customWidth="1"/>
    <col min="12290" max="12290" width="11" style="103" customWidth="1"/>
    <col min="12291" max="12291" width="10" style="103" bestFit="1" customWidth="1"/>
    <col min="12292" max="12292" width="10.28515625" style="103" customWidth="1"/>
    <col min="12293" max="12293" width="11.28515625" style="103" bestFit="1" customWidth="1"/>
    <col min="12294" max="12295" width="10.28515625" style="103" customWidth="1"/>
    <col min="12296" max="12296" width="7.42578125" style="103" bestFit="1" customWidth="1"/>
    <col min="12297" max="12543" width="9.140625" style="103"/>
    <col min="12544" max="12544" width="4.85546875" style="103" customWidth="1"/>
    <col min="12545" max="12545" width="19" style="103" customWidth="1"/>
    <col min="12546" max="12546" width="11" style="103" customWidth="1"/>
    <col min="12547" max="12547" width="10" style="103" bestFit="1" customWidth="1"/>
    <col min="12548" max="12548" width="10.28515625" style="103" customWidth="1"/>
    <col min="12549" max="12549" width="11.28515625" style="103" bestFit="1" customWidth="1"/>
    <col min="12550" max="12551" width="10.28515625" style="103" customWidth="1"/>
    <col min="12552" max="12552" width="7.42578125" style="103" bestFit="1" customWidth="1"/>
    <col min="12553" max="12799" width="9.140625" style="103"/>
    <col min="12800" max="12800" width="4.85546875" style="103" customWidth="1"/>
    <col min="12801" max="12801" width="19" style="103" customWidth="1"/>
    <col min="12802" max="12802" width="11" style="103" customWidth="1"/>
    <col min="12803" max="12803" width="10" style="103" bestFit="1" customWidth="1"/>
    <col min="12804" max="12804" width="10.28515625" style="103" customWidth="1"/>
    <col min="12805" max="12805" width="11.28515625" style="103" bestFit="1" customWidth="1"/>
    <col min="12806" max="12807" width="10.28515625" style="103" customWidth="1"/>
    <col min="12808" max="12808" width="7.42578125" style="103" bestFit="1" customWidth="1"/>
    <col min="12809" max="13055" width="9.140625" style="103"/>
    <col min="13056" max="13056" width="4.85546875" style="103" customWidth="1"/>
    <col min="13057" max="13057" width="19" style="103" customWidth="1"/>
    <col min="13058" max="13058" width="11" style="103" customWidth="1"/>
    <col min="13059" max="13059" width="10" style="103" bestFit="1" customWidth="1"/>
    <col min="13060" max="13060" width="10.28515625" style="103" customWidth="1"/>
    <col min="13061" max="13061" width="11.28515625" style="103" bestFit="1" customWidth="1"/>
    <col min="13062" max="13063" width="10.28515625" style="103" customWidth="1"/>
    <col min="13064" max="13064" width="7.42578125" style="103" bestFit="1" customWidth="1"/>
    <col min="13065" max="13311" width="9.140625" style="103"/>
    <col min="13312" max="13312" width="4.85546875" style="103" customWidth="1"/>
    <col min="13313" max="13313" width="19" style="103" customWidth="1"/>
    <col min="13314" max="13314" width="11" style="103" customWidth="1"/>
    <col min="13315" max="13315" width="10" style="103" bestFit="1" customWidth="1"/>
    <col min="13316" max="13316" width="10.28515625" style="103" customWidth="1"/>
    <col min="13317" max="13317" width="11.28515625" style="103" bestFit="1" customWidth="1"/>
    <col min="13318" max="13319" width="10.28515625" style="103" customWidth="1"/>
    <col min="13320" max="13320" width="7.42578125" style="103" bestFit="1" customWidth="1"/>
    <col min="13321" max="13567" width="9.140625" style="103"/>
    <col min="13568" max="13568" width="4.85546875" style="103" customWidth="1"/>
    <col min="13569" max="13569" width="19" style="103" customWidth="1"/>
    <col min="13570" max="13570" width="11" style="103" customWidth="1"/>
    <col min="13571" max="13571" width="10" style="103" bestFit="1" customWidth="1"/>
    <col min="13572" max="13572" width="10.28515625" style="103" customWidth="1"/>
    <col min="13573" max="13573" width="11.28515625" style="103" bestFit="1" customWidth="1"/>
    <col min="13574" max="13575" width="10.28515625" style="103" customWidth="1"/>
    <col min="13576" max="13576" width="7.42578125" style="103" bestFit="1" customWidth="1"/>
    <col min="13577" max="13823" width="9.140625" style="103"/>
    <col min="13824" max="13824" width="4.85546875" style="103" customWidth="1"/>
    <col min="13825" max="13825" width="19" style="103" customWidth="1"/>
    <col min="13826" max="13826" width="11" style="103" customWidth="1"/>
    <col min="13827" max="13827" width="10" style="103" bestFit="1" customWidth="1"/>
    <col min="13828" max="13828" width="10.28515625" style="103" customWidth="1"/>
    <col min="13829" max="13829" width="11.28515625" style="103" bestFit="1" customWidth="1"/>
    <col min="13830" max="13831" width="10.28515625" style="103" customWidth="1"/>
    <col min="13832" max="13832" width="7.42578125" style="103" bestFit="1" customWidth="1"/>
    <col min="13833" max="14079" width="9.140625" style="103"/>
    <col min="14080" max="14080" width="4.85546875" style="103" customWidth="1"/>
    <col min="14081" max="14081" width="19" style="103" customWidth="1"/>
    <col min="14082" max="14082" width="11" style="103" customWidth="1"/>
    <col min="14083" max="14083" width="10" style="103" bestFit="1" customWidth="1"/>
    <col min="14084" max="14084" width="10.28515625" style="103" customWidth="1"/>
    <col min="14085" max="14085" width="11.28515625" style="103" bestFit="1" customWidth="1"/>
    <col min="14086" max="14087" width="10.28515625" style="103" customWidth="1"/>
    <col min="14088" max="14088" width="7.42578125" style="103" bestFit="1" customWidth="1"/>
    <col min="14089" max="14335" width="9.140625" style="103"/>
    <col min="14336" max="14336" width="4.85546875" style="103" customWidth="1"/>
    <col min="14337" max="14337" width="19" style="103" customWidth="1"/>
    <col min="14338" max="14338" width="11" style="103" customWidth="1"/>
    <col min="14339" max="14339" width="10" style="103" bestFit="1" customWidth="1"/>
    <col min="14340" max="14340" width="10.28515625" style="103" customWidth="1"/>
    <col min="14341" max="14341" width="11.28515625" style="103" bestFit="1" customWidth="1"/>
    <col min="14342" max="14343" width="10.28515625" style="103" customWidth="1"/>
    <col min="14344" max="14344" width="7.42578125" style="103" bestFit="1" customWidth="1"/>
    <col min="14345" max="14591" width="9.140625" style="103"/>
    <col min="14592" max="14592" width="4.85546875" style="103" customWidth="1"/>
    <col min="14593" max="14593" width="19" style="103" customWidth="1"/>
    <col min="14594" max="14594" width="11" style="103" customWidth="1"/>
    <col min="14595" max="14595" width="10" style="103" bestFit="1" customWidth="1"/>
    <col min="14596" max="14596" width="10.28515625" style="103" customWidth="1"/>
    <col min="14597" max="14597" width="11.28515625" style="103" bestFit="1" customWidth="1"/>
    <col min="14598" max="14599" width="10.28515625" style="103" customWidth="1"/>
    <col min="14600" max="14600" width="7.42578125" style="103" bestFit="1" customWidth="1"/>
    <col min="14601" max="14847" width="9.140625" style="103"/>
    <col min="14848" max="14848" width="4.85546875" style="103" customWidth="1"/>
    <col min="14849" max="14849" width="19" style="103" customWidth="1"/>
    <col min="14850" max="14850" width="11" style="103" customWidth="1"/>
    <col min="14851" max="14851" width="10" style="103" bestFit="1" customWidth="1"/>
    <col min="14852" max="14852" width="10.28515625" style="103" customWidth="1"/>
    <col min="14853" max="14853" width="11.28515625" style="103" bestFit="1" customWidth="1"/>
    <col min="14854" max="14855" width="10.28515625" style="103" customWidth="1"/>
    <col min="14856" max="14856" width="7.42578125" style="103" bestFit="1" customWidth="1"/>
    <col min="14857" max="15103" width="9.140625" style="103"/>
    <col min="15104" max="15104" width="4.85546875" style="103" customWidth="1"/>
    <col min="15105" max="15105" width="19" style="103" customWidth="1"/>
    <col min="15106" max="15106" width="11" style="103" customWidth="1"/>
    <col min="15107" max="15107" width="10" style="103" bestFit="1" customWidth="1"/>
    <col min="15108" max="15108" width="10.28515625" style="103" customWidth="1"/>
    <col min="15109" max="15109" width="11.28515625" style="103" bestFit="1" customWidth="1"/>
    <col min="15110" max="15111" width="10.28515625" style="103" customWidth="1"/>
    <col min="15112" max="15112" width="7.42578125" style="103" bestFit="1" customWidth="1"/>
    <col min="15113" max="15359" width="9.140625" style="103"/>
    <col min="15360" max="15360" width="4.85546875" style="103" customWidth="1"/>
    <col min="15361" max="15361" width="19" style="103" customWidth="1"/>
    <col min="15362" max="15362" width="11" style="103" customWidth="1"/>
    <col min="15363" max="15363" width="10" style="103" bestFit="1" customWidth="1"/>
    <col min="15364" max="15364" width="10.28515625" style="103" customWidth="1"/>
    <col min="15365" max="15365" width="11.28515625" style="103" bestFit="1" customWidth="1"/>
    <col min="15366" max="15367" width="10.28515625" style="103" customWidth="1"/>
    <col min="15368" max="15368" width="7.42578125" style="103" bestFit="1" customWidth="1"/>
    <col min="15369" max="15615" width="9.140625" style="103"/>
    <col min="15616" max="15616" width="4.85546875" style="103" customWidth="1"/>
    <col min="15617" max="15617" width="19" style="103" customWidth="1"/>
    <col min="15618" max="15618" width="11" style="103" customWidth="1"/>
    <col min="15619" max="15619" width="10" style="103" bestFit="1" customWidth="1"/>
    <col min="15620" max="15620" width="10.28515625" style="103" customWidth="1"/>
    <col min="15621" max="15621" width="11.28515625" style="103" bestFit="1" customWidth="1"/>
    <col min="15622" max="15623" width="10.28515625" style="103" customWidth="1"/>
    <col min="15624" max="15624" width="7.42578125" style="103" bestFit="1" customWidth="1"/>
    <col min="15625" max="15871" width="9.140625" style="103"/>
    <col min="15872" max="15872" width="4.85546875" style="103" customWidth="1"/>
    <col min="15873" max="15873" width="19" style="103" customWidth="1"/>
    <col min="15874" max="15874" width="11" style="103" customWidth="1"/>
    <col min="15875" max="15875" width="10" style="103" bestFit="1" customWidth="1"/>
    <col min="15876" max="15876" width="10.28515625" style="103" customWidth="1"/>
    <col min="15877" max="15877" width="11.28515625" style="103" bestFit="1" customWidth="1"/>
    <col min="15878" max="15879" width="10.28515625" style="103" customWidth="1"/>
    <col min="15880" max="15880" width="7.42578125" style="103" bestFit="1" customWidth="1"/>
    <col min="15881" max="16127" width="9.140625" style="103"/>
    <col min="16128" max="16128" width="4.85546875" style="103" customWidth="1"/>
    <col min="16129" max="16129" width="19" style="103" customWidth="1"/>
    <col min="16130" max="16130" width="11" style="103" customWidth="1"/>
    <col min="16131" max="16131" width="10" style="103" bestFit="1" customWidth="1"/>
    <col min="16132" max="16132" width="10.28515625" style="103" customWidth="1"/>
    <col min="16133" max="16133" width="11.28515625" style="103" bestFit="1" customWidth="1"/>
    <col min="16134" max="16135" width="10.28515625" style="103" customWidth="1"/>
    <col min="16136" max="16136" width="7.42578125" style="103" bestFit="1" customWidth="1"/>
    <col min="16137" max="16384" width="9.140625" style="103"/>
  </cols>
  <sheetData>
    <row r="1" spans="3:10" s="83" customFormat="1" ht="12"/>
    <row r="2" spans="3:10" s="83" customFormat="1" ht="12"/>
    <row r="3" spans="3:10" s="83" customFormat="1" ht="12">
      <c r="C3" s="1" t="s">
        <v>244</v>
      </c>
      <c r="D3" s="2"/>
      <c r="E3" s="2"/>
      <c r="F3" s="2"/>
      <c r="G3" s="2"/>
      <c r="H3" s="2"/>
      <c r="I3" s="2"/>
    </row>
    <row r="4" spans="3:10" s="83" customFormat="1" ht="12">
      <c r="C4" s="1" t="s">
        <v>248</v>
      </c>
      <c r="D4" s="2"/>
      <c r="E4" s="2"/>
      <c r="F4" s="2"/>
      <c r="G4" s="2"/>
      <c r="H4" s="2"/>
      <c r="I4" s="2"/>
    </row>
    <row r="5" spans="3:10" s="83" customFormat="1" ht="12">
      <c r="C5" s="1" t="s">
        <v>245</v>
      </c>
      <c r="D5" s="2"/>
      <c r="E5" s="2"/>
      <c r="F5" s="2"/>
      <c r="G5" s="2"/>
      <c r="H5" s="2"/>
      <c r="I5" s="2"/>
    </row>
    <row r="6" spans="3:10" s="83" customFormat="1" ht="12">
      <c r="C6" s="1" t="s">
        <v>246</v>
      </c>
      <c r="D6" s="2"/>
      <c r="E6" s="2"/>
      <c r="F6" s="2"/>
      <c r="G6" s="2"/>
      <c r="H6" s="2"/>
      <c r="I6" s="2"/>
    </row>
    <row r="7" spans="3:10" s="83" customFormat="1" ht="12">
      <c r="C7" s="1" t="s">
        <v>247</v>
      </c>
      <c r="D7" s="2"/>
      <c r="E7" s="2"/>
      <c r="F7" s="2"/>
      <c r="G7" s="2"/>
      <c r="H7" s="2"/>
      <c r="I7" s="2"/>
    </row>
    <row r="8" spans="3:10" s="83" customFormat="1" ht="12">
      <c r="C8" s="84"/>
      <c r="D8" s="85"/>
      <c r="E8" s="85"/>
      <c r="F8" s="85"/>
      <c r="G8" s="85"/>
      <c r="H8" s="85"/>
      <c r="I8" s="85"/>
    </row>
    <row r="9" spans="3:10" s="83" customFormat="1" ht="12">
      <c r="C9" s="84" t="s">
        <v>168</v>
      </c>
      <c r="D9" s="85"/>
      <c r="E9" s="85"/>
      <c r="F9" s="85"/>
      <c r="G9" s="85"/>
      <c r="H9" s="85"/>
      <c r="I9" s="85"/>
    </row>
    <row r="10" spans="3:10" s="83" customFormat="1" ht="12">
      <c r="C10" s="85" t="s">
        <v>169</v>
      </c>
      <c r="D10" s="85"/>
      <c r="E10" s="85"/>
      <c r="F10" s="85"/>
      <c r="G10" s="85"/>
      <c r="H10" s="85"/>
      <c r="I10" s="85"/>
    </row>
    <row r="11" spans="3:10" s="83" customFormat="1" ht="5.0999999999999996" customHeight="1">
      <c r="C11" s="85"/>
      <c r="D11" s="85"/>
      <c r="E11" s="85"/>
      <c r="F11" s="85"/>
      <c r="G11" s="85"/>
      <c r="H11" s="85"/>
      <c r="I11" s="85"/>
    </row>
    <row r="12" spans="3:10" s="3" customFormat="1" ht="12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85"/>
      <c r="I12" s="85"/>
    </row>
    <row r="13" spans="3:10" s="83" customFormat="1" ht="5.0999999999999996" customHeight="1">
      <c r="C13" s="85"/>
      <c r="D13" s="85"/>
      <c r="E13" s="85"/>
      <c r="F13" s="85"/>
      <c r="G13" s="85"/>
      <c r="H13" s="85"/>
      <c r="I13" s="85"/>
    </row>
    <row r="14" spans="3:10" s="87" customFormat="1" ht="12.75" customHeight="1">
      <c r="C14" s="86"/>
      <c r="E14" s="88"/>
      <c r="F14" s="10" t="s">
        <v>9</v>
      </c>
      <c r="G14" s="10" t="s">
        <v>11</v>
      </c>
      <c r="J14" s="83"/>
    </row>
    <row r="15" spans="3:10" s="87" customFormat="1" ht="12.75" customHeight="1">
      <c r="C15" s="10" t="s">
        <v>12</v>
      </c>
      <c r="D15" s="9"/>
      <c r="E15" s="10" t="s">
        <v>170</v>
      </c>
      <c r="F15" s="10" t="s">
        <v>14</v>
      </c>
      <c r="G15" s="10" t="s">
        <v>15</v>
      </c>
      <c r="J15" s="83"/>
    </row>
    <row r="16" spans="3:10" s="87" customFormat="1" ht="12.75" customHeight="1">
      <c r="C16" s="11" t="s">
        <v>16</v>
      </c>
      <c r="D16" s="11" t="s">
        <v>17</v>
      </c>
      <c r="E16" s="11" t="s">
        <v>171</v>
      </c>
      <c r="F16" s="11" t="s">
        <v>20</v>
      </c>
      <c r="G16" s="11" t="s">
        <v>20</v>
      </c>
      <c r="J16" s="83"/>
    </row>
    <row r="17" spans="3:27" s="87" customFormat="1" ht="12.75" customHeight="1">
      <c r="C17" s="89">
        <v>0</v>
      </c>
      <c r="F17" s="90"/>
      <c r="G17" s="90"/>
      <c r="J17" s="83"/>
      <c r="L17" s="91" t="str">
        <f>+_xlfn.CONCAT(C9,", ",C10)</f>
        <v>Street Lighting Service, Schedule 41 - Summary</v>
      </c>
      <c r="M17" s="92"/>
      <c r="N17" s="92"/>
      <c r="O17" s="93"/>
    </row>
    <row r="18" spans="3:27" s="87" customFormat="1" ht="12.75" customHeight="1">
      <c r="C18" s="94">
        <v>-1</v>
      </c>
      <c r="D18" s="87" t="s">
        <v>172</v>
      </c>
      <c r="E18" s="95">
        <v>2275478.21</v>
      </c>
      <c r="F18" s="96">
        <f>G42</f>
        <v>2603947.434130698</v>
      </c>
      <c r="G18" s="96">
        <f>I42</f>
        <v>3340555.1269842926</v>
      </c>
      <c r="J18" s="83"/>
      <c r="L18" s="97" t="s">
        <v>23</v>
      </c>
      <c r="M18" s="83"/>
      <c r="N18" s="83"/>
      <c r="O18" s="98">
        <f>+G23</f>
        <v>4160807.0785602927</v>
      </c>
      <c r="X18" s="89"/>
    </row>
    <row r="19" spans="3:27" s="87" customFormat="1" ht="12.75" customHeight="1">
      <c r="C19" s="94">
        <f>C18-1</f>
        <v>-2</v>
      </c>
      <c r="D19" s="99" t="s">
        <v>173</v>
      </c>
      <c r="E19" s="100">
        <f>E54</f>
        <v>11659258</v>
      </c>
      <c r="F19" s="100">
        <f>G56</f>
        <v>791780.21077999996</v>
      </c>
      <c r="G19" s="100">
        <f>I54</f>
        <v>504740.93807800004</v>
      </c>
      <c r="J19" s="83"/>
      <c r="L19" s="97" t="s">
        <v>25</v>
      </c>
      <c r="M19" s="83"/>
      <c r="N19" s="83"/>
      <c r="O19" s="98">
        <f>F23*(1+O23)</f>
        <v>4160823.9218331543</v>
      </c>
      <c r="X19" s="89"/>
    </row>
    <row r="20" spans="3:27" s="87" customFormat="1" ht="12.75" customHeight="1">
      <c r="C20" s="94">
        <f>C19-1</f>
        <v>-3</v>
      </c>
      <c r="D20" s="99" t="s">
        <v>174</v>
      </c>
      <c r="E20" s="100">
        <f>E67</f>
        <v>6484878</v>
      </c>
      <c r="F20" s="100">
        <f>G69</f>
        <v>546033.47497999994</v>
      </c>
      <c r="G20" s="100">
        <f>I69</f>
        <v>315511.01349799999</v>
      </c>
      <c r="J20" s="83"/>
      <c r="L20" s="24" t="s">
        <v>27</v>
      </c>
      <c r="M20" s="101"/>
      <c r="N20" s="101"/>
      <c r="O20" s="102">
        <f>+O18-O19</f>
        <v>-16.843272861558944</v>
      </c>
      <c r="X20" s="89"/>
    </row>
    <row r="21" spans="3:27" s="87" customFormat="1" ht="12.75" customHeight="1">
      <c r="C21" s="94">
        <f>C20-1</f>
        <v>-4</v>
      </c>
      <c r="D21" s="103" t="s">
        <v>175</v>
      </c>
      <c r="E21" s="104">
        <f>SUM(E18:E20)</f>
        <v>20419614.210000001</v>
      </c>
      <c r="F21" s="105"/>
      <c r="G21" s="104"/>
      <c r="J21" s="83"/>
      <c r="X21" s="89"/>
    </row>
    <row r="22" spans="3:27" s="87" customFormat="1" ht="12.75" customHeight="1">
      <c r="C22" s="94">
        <f>C21-1</f>
        <v>-5</v>
      </c>
      <c r="D22" s="103" t="s">
        <v>41</v>
      </c>
      <c r="F22" s="106">
        <v>61823.242489479213</v>
      </c>
      <c r="G22" s="107"/>
      <c r="J22" s="83"/>
      <c r="L22" s="108" t="s">
        <v>30</v>
      </c>
      <c r="M22" s="92"/>
      <c r="N22" s="92"/>
      <c r="O22" s="109">
        <f>+O18/$F$23-1</f>
        <v>3.9270489129057617E-2</v>
      </c>
      <c r="X22" s="89"/>
    </row>
    <row r="23" spans="3:27" s="87" customFormat="1" ht="12">
      <c r="C23" s="94">
        <f>C22-1</f>
        <v>-6</v>
      </c>
      <c r="D23" s="103" t="s">
        <v>43</v>
      </c>
      <c r="F23" s="105">
        <f>SUM(F18:F22)</f>
        <v>4003584.3623801768</v>
      </c>
      <c r="G23" s="105">
        <f>SUM(G18:G22)</f>
        <v>4160807.0785602927</v>
      </c>
      <c r="J23" s="83"/>
      <c r="L23" s="110" t="s">
        <v>25</v>
      </c>
      <c r="M23" s="101"/>
      <c r="N23" s="101"/>
      <c r="O23" s="111">
        <v>3.9274696177376708E-2</v>
      </c>
      <c r="X23" s="89"/>
    </row>
    <row r="24" spans="3:27" s="87" customFormat="1" ht="12">
      <c r="C24" s="94"/>
      <c r="D24" s="103"/>
      <c r="F24" s="105"/>
      <c r="G24" s="105"/>
      <c r="J24" s="83"/>
      <c r="L24" s="83"/>
      <c r="M24" s="83"/>
      <c r="N24" s="83"/>
      <c r="O24" s="112"/>
      <c r="X24" s="89"/>
    </row>
    <row r="25" spans="3:27" s="3" customFormat="1" ht="12">
      <c r="C25" s="43" t="s">
        <v>45</v>
      </c>
      <c r="D25" s="44" t="s">
        <v>46</v>
      </c>
      <c r="E25" s="44" t="s">
        <v>46</v>
      </c>
      <c r="F25" s="44" t="s">
        <v>46</v>
      </c>
      <c r="G25" s="44" t="s">
        <v>46</v>
      </c>
      <c r="H25" s="44" t="s">
        <v>46</v>
      </c>
      <c r="I25" s="45" t="s">
        <v>47</v>
      </c>
    </row>
    <row r="26" spans="3:27" s="83" customFormat="1" ht="12.75" customHeight="1">
      <c r="C26" s="85" t="s">
        <v>172</v>
      </c>
      <c r="D26" s="85"/>
      <c r="E26" s="85"/>
      <c r="F26" s="85"/>
      <c r="G26" s="85"/>
      <c r="H26" s="85"/>
      <c r="I26" s="85"/>
      <c r="L26" s="113" t="s">
        <v>161</v>
      </c>
      <c r="M26" s="114"/>
      <c r="N26" s="114"/>
      <c r="O26" s="115">
        <v>0</v>
      </c>
    </row>
    <row r="27" spans="3:27" s="83" customFormat="1" ht="5.0999999999999996" customHeight="1">
      <c r="C27" s="85"/>
      <c r="D27" s="85"/>
      <c r="E27" s="85"/>
      <c r="F27" s="85"/>
      <c r="G27" s="85"/>
      <c r="H27" s="85"/>
      <c r="I27" s="85"/>
    </row>
    <row r="28" spans="3:27" s="3" customFormat="1" ht="12">
      <c r="C28" s="6" t="s">
        <v>2</v>
      </c>
      <c r="D28" s="7" t="s">
        <v>3</v>
      </c>
      <c r="E28" s="7" t="s">
        <v>4</v>
      </c>
      <c r="F28" s="7" t="s">
        <v>5</v>
      </c>
      <c r="G28" s="7" t="s">
        <v>6</v>
      </c>
      <c r="H28" s="7" t="s">
        <v>7</v>
      </c>
      <c r="I28" s="7" t="s">
        <v>8</v>
      </c>
    </row>
    <row r="29" spans="3:27" s="83" customFormat="1" ht="5.0999999999999996" customHeight="1">
      <c r="C29" s="85"/>
      <c r="D29" s="85"/>
      <c r="E29" s="85"/>
      <c r="F29" s="85"/>
      <c r="G29" s="85"/>
      <c r="H29" s="85"/>
      <c r="I29" s="85"/>
    </row>
    <row r="30" spans="3:27" s="87" customFormat="1" ht="12">
      <c r="C30" s="86"/>
      <c r="E30" s="88"/>
      <c r="F30" s="116" t="s">
        <v>10</v>
      </c>
      <c r="G30" s="116" t="s">
        <v>9</v>
      </c>
      <c r="H30" s="116" t="s">
        <v>11</v>
      </c>
      <c r="I30" s="116" t="s">
        <v>11</v>
      </c>
      <c r="J30" s="83"/>
      <c r="AA30" s="89"/>
    </row>
    <row r="31" spans="3:27" s="87" customFormat="1" ht="12">
      <c r="C31" s="10" t="s">
        <v>12</v>
      </c>
      <c r="D31" s="117"/>
      <c r="E31" s="116" t="s">
        <v>151</v>
      </c>
      <c r="F31" s="116" t="s">
        <v>14</v>
      </c>
      <c r="G31" s="116" t="s">
        <v>14</v>
      </c>
      <c r="H31" s="116" t="s">
        <v>15</v>
      </c>
      <c r="I31" s="116" t="s">
        <v>15</v>
      </c>
      <c r="J31" s="83"/>
      <c r="AA31" s="89"/>
    </row>
    <row r="32" spans="3:27" s="87" customFormat="1" ht="14.25">
      <c r="C32" s="11" t="s">
        <v>16</v>
      </c>
      <c r="D32" s="11" t="s">
        <v>17</v>
      </c>
      <c r="E32" s="118" t="s">
        <v>152</v>
      </c>
      <c r="F32" s="118" t="s">
        <v>19</v>
      </c>
      <c r="G32" s="118" t="s">
        <v>20</v>
      </c>
      <c r="H32" s="118" t="s">
        <v>19</v>
      </c>
      <c r="I32" s="118" t="s">
        <v>20</v>
      </c>
      <c r="J32" s="83"/>
      <c r="AA32" s="89"/>
    </row>
    <row r="33" spans="1:27" s="87" customFormat="1" ht="4.5" customHeight="1">
      <c r="C33" s="11"/>
      <c r="D33" s="11"/>
      <c r="E33" s="119"/>
      <c r="F33" s="119"/>
      <c r="G33" s="119"/>
      <c r="H33" s="119"/>
      <c r="I33" s="119"/>
      <c r="J33" s="83"/>
      <c r="AA33" s="89"/>
    </row>
    <row r="34" spans="1:27" s="87" customFormat="1" ht="12">
      <c r="C34" s="94">
        <f>C23-1</f>
        <v>-7</v>
      </c>
      <c r="D34" s="120" t="s">
        <v>176</v>
      </c>
      <c r="G34" s="90"/>
      <c r="I34" s="90"/>
      <c r="J34" s="83"/>
      <c r="AA34" s="89"/>
    </row>
    <row r="35" spans="1:27" s="87" customFormat="1" ht="12">
      <c r="C35" s="94">
        <f>C34-1</f>
        <v>-8</v>
      </c>
      <c r="D35" s="121" t="s">
        <v>177</v>
      </c>
      <c r="E35" s="104">
        <v>181437.2</v>
      </c>
      <c r="F35" s="122">
        <v>12.3</v>
      </c>
      <c r="G35" s="96">
        <f>E35*F35</f>
        <v>2231677.56</v>
      </c>
      <c r="H35" s="122">
        <v>15.975555999999999</v>
      </c>
      <c r="I35" s="96">
        <f>E35*H35</f>
        <v>2898560.1490831999</v>
      </c>
      <c r="J35" s="83"/>
      <c r="AA35" s="89"/>
    </row>
    <row r="36" spans="1:27" s="87" customFormat="1" ht="12">
      <c r="C36" s="94">
        <f>C35-1</f>
        <v>-9</v>
      </c>
      <c r="D36" s="121" t="s">
        <v>178</v>
      </c>
      <c r="E36" s="104">
        <v>20240.403999999999</v>
      </c>
      <c r="F36" s="18">
        <v>14.309999999999999</v>
      </c>
      <c r="G36" s="100">
        <f>E36*F36</f>
        <v>289640.18123999995</v>
      </c>
      <c r="H36" s="18">
        <v>17.291194000000001</v>
      </c>
      <c r="I36" s="100">
        <f>E36*H36</f>
        <v>349980.75220237597</v>
      </c>
      <c r="J36" s="83"/>
      <c r="AA36" s="89"/>
    </row>
    <row r="37" spans="1:27" s="87" customFormat="1" ht="12">
      <c r="C37" s="94">
        <f>C36-1</f>
        <v>-10</v>
      </c>
      <c r="D37" s="121" t="s">
        <v>179</v>
      </c>
      <c r="E37" s="104">
        <v>2674.1030000000001</v>
      </c>
      <c r="F37" s="18">
        <v>16.43</v>
      </c>
      <c r="G37" s="100">
        <f>E37*F37</f>
        <v>43935.512289999999</v>
      </c>
      <c r="H37" s="18">
        <v>18.815303</v>
      </c>
      <c r="I37" s="100">
        <f>E37*H37</f>
        <v>50314.058198209001</v>
      </c>
      <c r="J37" s="83"/>
      <c r="AA37" s="89"/>
    </row>
    <row r="38" spans="1:27" s="87" customFormat="1" ht="14.25">
      <c r="C38" s="94">
        <f>C37-1</f>
        <v>-11</v>
      </c>
      <c r="D38" s="121" t="s">
        <v>180</v>
      </c>
      <c r="E38" s="28">
        <v>1680.1590000000001</v>
      </c>
      <c r="F38" s="18">
        <v>20.440000000000001</v>
      </c>
      <c r="G38" s="28">
        <f>E38*F38</f>
        <v>34342.449960000005</v>
      </c>
      <c r="H38" s="18">
        <v>21.931449000000001</v>
      </c>
      <c r="I38" s="28">
        <f>E38*H38</f>
        <v>36848.321420391003</v>
      </c>
      <c r="J38" s="83"/>
      <c r="AA38" s="89"/>
    </row>
    <row r="39" spans="1:27" s="87" customFormat="1" ht="12">
      <c r="C39" s="94">
        <f>C38-1</f>
        <v>-12</v>
      </c>
      <c r="D39" s="99" t="s">
        <v>181</v>
      </c>
      <c r="E39" s="104">
        <f>SUM(E35:E38)</f>
        <v>206031.86600000004</v>
      </c>
      <c r="F39" s="123"/>
      <c r="G39" s="96">
        <f>SUM(G35:G38)</f>
        <v>2599595.7034899998</v>
      </c>
      <c r="H39" s="123"/>
      <c r="I39" s="96">
        <f>SUM(I35:I38)</f>
        <v>3335703.2809041757</v>
      </c>
      <c r="J39" s="83"/>
      <c r="AA39" s="89"/>
    </row>
    <row r="40" spans="1:27" s="87" customFormat="1" ht="12">
      <c r="C40" s="94"/>
      <c r="E40" s="95"/>
      <c r="F40" s="123"/>
      <c r="G40" s="96"/>
      <c r="H40" s="123"/>
      <c r="I40" s="96"/>
      <c r="J40" s="83"/>
      <c r="AA40" s="89"/>
    </row>
    <row r="41" spans="1:27" s="87" customFormat="1" ht="12">
      <c r="C41" s="94">
        <f>C39-1</f>
        <v>-13</v>
      </c>
      <c r="D41" s="87" t="s">
        <v>182</v>
      </c>
      <c r="E41" s="104">
        <v>43492.080999999991</v>
      </c>
      <c r="F41" s="124">
        <v>0.10005799999999999</v>
      </c>
      <c r="G41" s="96">
        <f>E41*F41</f>
        <v>4351.7306406979988</v>
      </c>
      <c r="H41" s="124">
        <v>0.111557</v>
      </c>
      <c r="I41" s="96">
        <f>H41*E41</f>
        <v>4851.8460801169995</v>
      </c>
      <c r="J41" s="83"/>
      <c r="AA41" s="89"/>
    </row>
    <row r="42" spans="1:27" s="87" customFormat="1" ht="12">
      <c r="C42" s="94">
        <f>C41-1</f>
        <v>-14</v>
      </c>
      <c r="D42" s="87" t="s">
        <v>172</v>
      </c>
      <c r="E42" s="95"/>
      <c r="F42" s="123"/>
      <c r="G42" s="96">
        <f>G39+G41</f>
        <v>2603947.434130698</v>
      </c>
      <c r="H42" s="123"/>
      <c r="I42" s="96">
        <f>I41+I39</f>
        <v>3340555.1269842926</v>
      </c>
      <c r="J42" s="83"/>
      <c r="AA42" s="89"/>
    </row>
    <row r="43" spans="1:27" s="87" customFormat="1" ht="12">
      <c r="C43" s="125"/>
      <c r="E43" s="95"/>
      <c r="F43" s="126"/>
      <c r="G43" s="107"/>
      <c r="I43" s="107"/>
      <c r="J43" s="83"/>
      <c r="AA43" s="89"/>
    </row>
    <row r="44" spans="1:27" s="87" customFormat="1" ht="12">
      <c r="C44" s="125"/>
      <c r="E44" s="95"/>
      <c r="F44" s="126"/>
      <c r="G44" s="107"/>
      <c r="I44" s="127" t="s">
        <v>183</v>
      </c>
      <c r="J44" s="83"/>
      <c r="AA44" s="89"/>
    </row>
    <row r="45" spans="1:27" s="87" customFormat="1" ht="12">
      <c r="C45" s="86"/>
      <c r="E45" s="95"/>
      <c r="F45" s="126"/>
      <c r="G45" s="90"/>
      <c r="H45" s="126"/>
      <c r="I45" s="128">
        <f>I41/E39</f>
        <v>2.3549008094296435E-2</v>
      </c>
      <c r="J45" s="83"/>
      <c r="AA45" s="89"/>
    </row>
    <row r="46" spans="1:27" s="87" customFormat="1" ht="12">
      <c r="A46" s="86"/>
      <c r="C46" s="95"/>
      <c r="D46" s="126"/>
      <c r="E46" s="90"/>
      <c r="F46" s="126"/>
      <c r="G46" s="129"/>
      <c r="J46" s="83"/>
      <c r="AA46" s="89"/>
    </row>
    <row r="47" spans="1:27" s="83" customFormat="1" ht="12.75" customHeight="1">
      <c r="C47" s="85" t="s">
        <v>173</v>
      </c>
      <c r="D47" s="85"/>
      <c r="E47" s="85"/>
      <c r="F47" s="85"/>
      <c r="G47" s="85"/>
      <c r="H47" s="85"/>
      <c r="I47" s="85"/>
    </row>
    <row r="48" spans="1:27" s="83" customFormat="1" ht="5.0999999999999996" customHeight="1">
      <c r="C48" s="85"/>
      <c r="D48" s="85"/>
      <c r="E48" s="85"/>
      <c r="F48" s="85"/>
      <c r="G48" s="85"/>
      <c r="H48" s="85"/>
      <c r="I48" s="85"/>
    </row>
    <row r="49" spans="1:27" s="87" customFormat="1" ht="12">
      <c r="C49" s="86"/>
      <c r="E49" s="88"/>
      <c r="F49" s="116" t="s">
        <v>10</v>
      </c>
      <c r="G49" s="116" t="s">
        <v>9</v>
      </c>
      <c r="H49" s="116" t="s">
        <v>11</v>
      </c>
      <c r="I49" s="116" t="s">
        <v>11</v>
      </c>
      <c r="J49" s="83"/>
      <c r="AA49" s="89"/>
    </row>
    <row r="50" spans="1:27" s="87" customFormat="1" ht="12">
      <c r="C50" s="10" t="s">
        <v>12</v>
      </c>
      <c r="D50" s="117"/>
      <c r="E50" s="10" t="s">
        <v>170</v>
      </c>
      <c r="F50" s="116" t="s">
        <v>14</v>
      </c>
      <c r="G50" s="116" t="s">
        <v>14</v>
      </c>
      <c r="H50" s="116" t="s">
        <v>15</v>
      </c>
      <c r="I50" s="116" t="s">
        <v>15</v>
      </c>
      <c r="J50" s="83"/>
      <c r="AA50" s="89"/>
    </row>
    <row r="51" spans="1:27" s="87" customFormat="1" ht="14.25">
      <c r="C51" s="11" t="s">
        <v>16</v>
      </c>
      <c r="D51" s="11" t="s">
        <v>17</v>
      </c>
      <c r="E51" s="11" t="s">
        <v>171</v>
      </c>
      <c r="F51" s="118" t="s">
        <v>19</v>
      </c>
      <c r="G51" s="118" t="s">
        <v>20</v>
      </c>
      <c r="H51" s="118" t="s">
        <v>19</v>
      </c>
      <c r="I51" s="118" t="s">
        <v>20</v>
      </c>
      <c r="J51" s="83"/>
      <c r="AA51" s="89"/>
    </row>
    <row r="52" spans="1:27" s="87" customFormat="1" ht="12">
      <c r="C52" s="89">
        <v>0</v>
      </c>
      <c r="G52" s="90"/>
      <c r="I52" s="90"/>
      <c r="J52" s="83"/>
      <c r="AA52" s="89"/>
    </row>
    <row r="53" spans="1:27" s="87" customFormat="1" ht="12">
      <c r="C53" s="94">
        <f>C42-1</f>
        <v>-15</v>
      </c>
      <c r="D53" s="130" t="s">
        <v>97</v>
      </c>
      <c r="E53" s="95"/>
      <c r="F53" s="126"/>
      <c r="G53" s="90"/>
      <c r="H53" s="126"/>
      <c r="I53" s="90"/>
      <c r="J53" s="83"/>
      <c r="AA53" s="89"/>
    </row>
    <row r="54" spans="1:27" s="87" customFormat="1" ht="12">
      <c r="C54" s="94">
        <f>C53-1</f>
        <v>-16</v>
      </c>
      <c r="D54" s="87" t="s">
        <v>184</v>
      </c>
      <c r="E54" s="104">
        <v>11659258</v>
      </c>
      <c r="F54" s="124">
        <v>6.7909999999999998E-2</v>
      </c>
      <c r="G54" s="96">
        <f>E54*F54</f>
        <v>791780.21077999996</v>
      </c>
      <c r="H54" s="131">
        <v>4.3291000000000003E-2</v>
      </c>
      <c r="I54" s="132">
        <f>E54*H54</f>
        <v>504740.93807800004</v>
      </c>
      <c r="J54" s="83"/>
      <c r="AA54" s="89"/>
    </row>
    <row r="55" spans="1:27" s="87" customFormat="1" ht="12">
      <c r="C55" s="94"/>
      <c r="E55" s="95"/>
      <c r="F55" s="123"/>
      <c r="G55" s="133"/>
      <c r="H55" s="123"/>
      <c r="I55" s="133"/>
      <c r="J55" s="83"/>
      <c r="AA55" s="89"/>
    </row>
    <row r="56" spans="1:27" s="87" customFormat="1" ht="12">
      <c r="C56" s="94">
        <f>C54-1</f>
        <v>-17</v>
      </c>
      <c r="D56" s="99" t="s">
        <v>173</v>
      </c>
      <c r="E56" s="95"/>
      <c r="F56" s="123"/>
      <c r="G56" s="96">
        <f>SUM(G54)</f>
        <v>791780.21077999996</v>
      </c>
      <c r="H56" s="123"/>
      <c r="I56" s="96">
        <f>I54</f>
        <v>504740.93807800004</v>
      </c>
      <c r="J56" s="83"/>
      <c r="AA56" s="89"/>
    </row>
    <row r="57" spans="1:27" s="87" customFormat="1" ht="12">
      <c r="A57" s="134"/>
      <c r="J57" s="83"/>
      <c r="AA57" s="89"/>
    </row>
    <row r="58" spans="1:27" s="83" customFormat="1" ht="12.75" customHeight="1">
      <c r="C58" s="85" t="s">
        <v>174</v>
      </c>
      <c r="D58" s="85"/>
      <c r="E58" s="85"/>
      <c r="F58" s="85"/>
      <c r="G58" s="85"/>
      <c r="H58" s="85"/>
      <c r="I58" s="85"/>
    </row>
    <row r="59" spans="1:27" s="83" customFormat="1" ht="5.0999999999999996" customHeight="1">
      <c r="C59" s="85"/>
      <c r="D59" s="85"/>
      <c r="E59" s="85"/>
      <c r="F59" s="85"/>
      <c r="G59" s="85"/>
      <c r="H59" s="85"/>
      <c r="I59" s="85"/>
    </row>
    <row r="60" spans="1:27" s="87" customFormat="1" ht="12">
      <c r="C60" s="86"/>
      <c r="E60" s="88"/>
      <c r="F60" s="116" t="s">
        <v>10</v>
      </c>
      <c r="G60" s="116" t="s">
        <v>9</v>
      </c>
      <c r="H60" s="116" t="s">
        <v>11</v>
      </c>
      <c r="I60" s="116" t="s">
        <v>11</v>
      </c>
      <c r="J60" s="83"/>
      <c r="AA60" s="89"/>
    </row>
    <row r="61" spans="1:27" s="87" customFormat="1" ht="12">
      <c r="C61" s="10" t="s">
        <v>12</v>
      </c>
      <c r="D61" s="117"/>
      <c r="E61" s="10" t="s">
        <v>170</v>
      </c>
      <c r="F61" s="116" t="s">
        <v>14</v>
      </c>
      <c r="G61" s="116" t="s">
        <v>14</v>
      </c>
      <c r="H61" s="116" t="s">
        <v>15</v>
      </c>
      <c r="I61" s="116" t="s">
        <v>15</v>
      </c>
      <c r="J61" s="83"/>
      <c r="AA61" s="89"/>
    </row>
    <row r="62" spans="1:27" s="87" customFormat="1" ht="14.25">
      <c r="C62" s="11" t="s">
        <v>16</v>
      </c>
      <c r="D62" s="11" t="s">
        <v>17</v>
      </c>
      <c r="E62" s="11" t="s">
        <v>171</v>
      </c>
      <c r="F62" s="118" t="s">
        <v>19</v>
      </c>
      <c r="G62" s="118" t="s">
        <v>20</v>
      </c>
      <c r="H62" s="118" t="s">
        <v>19</v>
      </c>
      <c r="I62" s="118" t="s">
        <v>20</v>
      </c>
      <c r="J62" s="83"/>
      <c r="AA62" s="89"/>
    </row>
    <row r="63" spans="1:27" s="87" customFormat="1" ht="12">
      <c r="C63" s="89">
        <v>0</v>
      </c>
      <c r="G63" s="90"/>
      <c r="I63" s="90"/>
      <c r="J63" s="83"/>
      <c r="AA63" s="89"/>
    </row>
    <row r="64" spans="1:27" s="87" customFormat="1" ht="12">
      <c r="C64" s="94">
        <f>C56-1</f>
        <v>-18</v>
      </c>
      <c r="D64" s="87" t="s">
        <v>185</v>
      </c>
      <c r="E64" s="95">
        <v>18899</v>
      </c>
      <c r="F64" s="123">
        <v>5.59</v>
      </c>
      <c r="G64" s="96">
        <f>E64*F64</f>
        <v>105645.41</v>
      </c>
      <c r="H64" s="135">
        <v>1.84</v>
      </c>
      <c r="I64" s="96">
        <f>E64*H64</f>
        <v>34774.160000000003</v>
      </c>
      <c r="J64" s="83"/>
      <c r="AA64" s="89"/>
    </row>
    <row r="65" spans="3:27" s="87" customFormat="1" ht="12">
      <c r="C65" s="125"/>
      <c r="E65" s="95"/>
      <c r="F65" s="123"/>
      <c r="G65" s="133"/>
      <c r="H65" s="123"/>
      <c r="I65" s="133"/>
      <c r="J65" s="83"/>
      <c r="AA65" s="89"/>
    </row>
    <row r="66" spans="3:27" s="87" customFormat="1" ht="12">
      <c r="C66" s="94">
        <f>C64-1</f>
        <v>-19</v>
      </c>
      <c r="D66" s="130" t="s">
        <v>97</v>
      </c>
      <c r="E66" s="95"/>
      <c r="F66" s="123"/>
      <c r="G66" s="133"/>
      <c r="H66" s="123"/>
      <c r="I66" s="133"/>
      <c r="J66" s="83"/>
      <c r="AA66" s="89"/>
    </row>
    <row r="67" spans="3:27" s="87" customFormat="1" ht="14.25">
      <c r="C67" s="94">
        <f>C66-1</f>
        <v>-20</v>
      </c>
      <c r="D67" s="87" t="s">
        <v>184</v>
      </c>
      <c r="E67" s="104">
        <v>6484878</v>
      </c>
      <c r="F67" s="124">
        <v>6.7909999999999998E-2</v>
      </c>
      <c r="G67" s="136">
        <f>E67*F67</f>
        <v>440388.06497999997</v>
      </c>
      <c r="H67" s="131">
        <v>4.3291000000000003E-2</v>
      </c>
      <c r="I67" s="136">
        <f>E67*H67</f>
        <v>280736.85349800001</v>
      </c>
      <c r="J67" s="83"/>
      <c r="K67" s="137"/>
      <c r="L67" s="137"/>
      <c r="M67" s="138"/>
      <c r="AA67" s="89"/>
    </row>
    <row r="68" spans="3:27" s="87" customFormat="1" ht="12">
      <c r="C68" s="125"/>
      <c r="E68" s="95"/>
      <c r="F68" s="123"/>
      <c r="G68" s="133"/>
      <c r="H68" s="123"/>
      <c r="I68" s="133"/>
      <c r="J68" s="83"/>
      <c r="M68" s="90"/>
      <c r="AA68" s="89"/>
    </row>
    <row r="69" spans="3:27" s="87" customFormat="1" ht="12">
      <c r="C69" s="94">
        <f>C67-1</f>
        <v>-21</v>
      </c>
      <c r="D69" s="99" t="s">
        <v>174</v>
      </c>
      <c r="E69" s="95"/>
      <c r="F69" s="123"/>
      <c r="G69" s="96">
        <f>SUM(G64:G67)</f>
        <v>546033.47497999994</v>
      </c>
      <c r="H69" s="123"/>
      <c r="I69" s="96">
        <f>SUM(I64:I67)</f>
        <v>315511.01349799999</v>
      </c>
      <c r="J69" s="83"/>
      <c r="M69" s="139"/>
      <c r="AA69" s="89"/>
    </row>
    <row r="70" spans="3:27" s="103" customFormat="1" ht="6" customHeight="1">
      <c r="J70" s="83"/>
      <c r="M70" s="140"/>
    </row>
    <row r="71" spans="3:27" s="3" customFormat="1" ht="12">
      <c r="C71" s="43" t="s">
        <v>45</v>
      </c>
      <c r="D71" s="44" t="s">
        <v>46</v>
      </c>
      <c r="E71" s="44" t="s">
        <v>46</v>
      </c>
      <c r="F71" s="44" t="s">
        <v>46</v>
      </c>
      <c r="G71" s="44" t="s">
        <v>46</v>
      </c>
      <c r="H71" s="44" t="s">
        <v>46</v>
      </c>
      <c r="I71" s="45" t="s">
        <v>47</v>
      </c>
    </row>
    <row r="72" spans="3:27" s="103" customFormat="1" ht="15" customHeight="1">
      <c r="J72" s="83"/>
    </row>
    <row r="73" spans="3:27" s="103" customFormat="1" ht="15" customHeight="1">
      <c r="J73" s="83"/>
    </row>
    <row r="74" spans="3:27" s="103" customFormat="1" ht="15" customHeight="1">
      <c r="J74" s="83"/>
    </row>
    <row r="75" spans="3:27" s="103" customFormat="1" ht="15" customHeight="1">
      <c r="J75" s="83"/>
    </row>
    <row r="76" spans="3:27" s="103" customFormat="1" ht="15" customHeight="1">
      <c r="J76" s="83"/>
    </row>
    <row r="77" spans="3:27" s="103" customFormat="1" ht="15" customHeight="1">
      <c r="J77" s="83"/>
    </row>
    <row r="78" spans="3:27" s="103" customFormat="1" ht="15" customHeight="1">
      <c r="J78" s="83"/>
    </row>
    <row r="79" spans="3:27" s="103" customFormat="1" ht="15" customHeight="1">
      <c r="J79" s="83"/>
    </row>
    <row r="80" spans="3:27" s="103" customFormat="1" ht="15" customHeight="1">
      <c r="J80" s="83"/>
    </row>
    <row r="81" spans="10:10" s="103" customFormat="1" ht="15" customHeight="1">
      <c r="J81" s="83"/>
    </row>
    <row r="82" spans="10:10" s="103" customFormat="1" ht="15" customHeight="1">
      <c r="J82" s="83"/>
    </row>
    <row r="83" spans="10:10" s="103" customFormat="1" ht="15" customHeight="1">
      <c r="J83" s="83"/>
    </row>
    <row r="84" spans="10:10" s="103" customFormat="1" ht="15" customHeight="1">
      <c r="J84" s="83"/>
    </row>
  </sheetData>
  <conditionalFormatting sqref="A25">
    <cfRule type="expression" dxfId="18" priority="5">
      <formula>IF(A25=#REF!,1,0)</formula>
    </cfRule>
  </conditionalFormatting>
  <conditionalFormatting sqref="A71">
    <cfRule type="expression" dxfId="17" priority="2">
      <formula>IF(A71=#REF!,1,0)</formula>
    </cfRule>
  </conditionalFormatting>
  <conditionalFormatting sqref="C17">
    <cfRule type="expression" dxfId="16" priority="15">
      <formula>IF(C17=C16,0,1)</formula>
    </cfRule>
  </conditionalFormatting>
  <conditionalFormatting sqref="C18:C20 C22:C24 C34:C41 C43:C44 C53:C56">
    <cfRule type="expression" dxfId="15" priority="16">
      <formula>IF(C18=C17,1,0)</formula>
    </cfRule>
  </conditionalFormatting>
  <conditionalFormatting sqref="C19:C24 C34:C42">
    <cfRule type="expression" dxfId="14" priority="17">
      <formula>IF(C19=#REF!,1,0)</formula>
    </cfRule>
  </conditionalFormatting>
  <conditionalFormatting sqref="C21">
    <cfRule type="expression" dxfId="13" priority="19">
      <formula>IF(C21=#REF!,1,0)</formula>
    </cfRule>
  </conditionalFormatting>
  <conditionalFormatting sqref="C25">
    <cfRule type="expression" dxfId="12" priority="4">
      <formula>IF(C25=C23,1,0)</formula>
    </cfRule>
    <cfRule type="expression" dxfId="11" priority="6">
      <formula>IF(C25=#REF!,1,0)</formula>
    </cfRule>
  </conditionalFormatting>
  <conditionalFormatting sqref="C42">
    <cfRule type="expression" dxfId="10" priority="18">
      <formula>IF(C42=#REF!,1,0)</formula>
    </cfRule>
  </conditionalFormatting>
  <conditionalFormatting sqref="C43:C44">
    <cfRule type="expression" dxfId="9" priority="13">
      <formula>IF(C43=C41,1,0)</formula>
    </cfRule>
  </conditionalFormatting>
  <conditionalFormatting sqref="C52">
    <cfRule type="expression" dxfId="8" priority="12">
      <formula>IF(C52=C51,0,1)</formula>
    </cfRule>
  </conditionalFormatting>
  <conditionalFormatting sqref="C53:C56">
    <cfRule type="expression" dxfId="7" priority="11">
      <formula>IF(C53=#REF!,1,0)</formula>
    </cfRule>
  </conditionalFormatting>
  <conditionalFormatting sqref="C63">
    <cfRule type="expression" dxfId="6" priority="14">
      <formula>IF(C63=C62,0,1)</formula>
    </cfRule>
  </conditionalFormatting>
  <conditionalFormatting sqref="C64">
    <cfRule type="expression" dxfId="5" priority="10">
      <formula>IF(C64=#REF!,1,0)</formula>
    </cfRule>
  </conditionalFormatting>
  <conditionalFormatting sqref="C64:C70">
    <cfRule type="expression" dxfId="4" priority="8">
      <formula>IF(C64=C63,1,0)</formula>
    </cfRule>
  </conditionalFormatting>
  <conditionalFormatting sqref="C66:C67">
    <cfRule type="expression" dxfId="3" priority="9">
      <formula>IF(C66=#REF!,1,0)</formula>
    </cfRule>
  </conditionalFormatting>
  <conditionalFormatting sqref="C69:C70">
    <cfRule type="expression" dxfId="2" priority="7">
      <formula>IF(C69=#REF!,1,0)</formula>
    </cfRule>
  </conditionalFormatting>
  <conditionalFormatting sqref="C71">
    <cfRule type="expression" dxfId="1" priority="1">
      <formula>IF(C71=C68,1,0)</formula>
    </cfRule>
    <cfRule type="expression" dxfId="0" priority="3">
      <formula>IF(C71=#REF!,1,0)</formula>
    </cfRule>
  </conditionalFormatting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  <rowBreaks count="1" manualBreakCount="1">
    <brk id="25" min="1" max="9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0F115-C1C0-4955-A2A1-50A3BFE37858}">
  <sheetPr>
    <tabColor theme="3"/>
    <pageSetUpPr fitToPage="1"/>
  </sheetPr>
  <dimension ref="C3:O27"/>
  <sheetViews>
    <sheetView showGridLines="0" view="pageBreakPreview" zoomScaleNormal="10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9">
      <c r="C3" s="1" t="s">
        <v>244</v>
      </c>
      <c r="D3" s="2"/>
      <c r="E3" s="2"/>
      <c r="F3" s="2"/>
      <c r="G3" s="2"/>
      <c r="H3" s="2"/>
      <c r="I3" s="2"/>
    </row>
    <row r="4" spans="3:9">
      <c r="C4" s="1" t="s">
        <v>248</v>
      </c>
      <c r="D4" s="2"/>
      <c r="E4" s="2"/>
      <c r="F4" s="2"/>
      <c r="G4" s="2"/>
      <c r="H4" s="2"/>
      <c r="I4" s="2"/>
    </row>
    <row r="5" spans="3:9">
      <c r="C5" s="1" t="s">
        <v>245</v>
      </c>
      <c r="D5" s="2"/>
      <c r="E5" s="2"/>
      <c r="F5" s="2"/>
      <c r="G5" s="2"/>
      <c r="H5" s="2"/>
      <c r="I5" s="2"/>
    </row>
    <row r="6" spans="3:9">
      <c r="C6" s="1" t="s">
        <v>246</v>
      </c>
      <c r="D6" s="2"/>
      <c r="E6" s="2"/>
      <c r="F6" s="2"/>
      <c r="G6" s="2"/>
      <c r="H6" s="2"/>
      <c r="I6" s="2"/>
    </row>
    <row r="7" spans="3:9">
      <c r="C7" s="1" t="s">
        <v>247</v>
      </c>
      <c r="D7" s="2"/>
      <c r="E7" s="2"/>
      <c r="F7" s="2"/>
      <c r="G7" s="2"/>
      <c r="H7" s="2"/>
      <c r="I7" s="2"/>
    </row>
    <row r="8" spans="3:9">
      <c r="C8" s="1"/>
      <c r="D8" s="2"/>
      <c r="E8" s="2"/>
      <c r="F8" s="2"/>
      <c r="G8" s="2"/>
      <c r="H8" s="2"/>
      <c r="I8" s="2"/>
    </row>
    <row r="9" spans="3:9">
      <c r="C9" s="1" t="s">
        <v>186</v>
      </c>
      <c r="D9" s="2"/>
      <c r="E9" s="2"/>
      <c r="F9" s="2"/>
      <c r="G9" s="2"/>
      <c r="H9" s="2"/>
      <c r="I9" s="2"/>
    </row>
    <row r="10" spans="3:9">
      <c r="C10" s="2" t="s">
        <v>187</v>
      </c>
      <c r="D10" s="2"/>
      <c r="E10" s="2"/>
      <c r="F10" s="2"/>
      <c r="G10" s="2"/>
      <c r="H10" s="2"/>
      <c r="I10" s="2"/>
    </row>
    <row r="11" spans="3:9" ht="5.0999999999999996" customHeight="1"/>
    <row r="12" spans="3:9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9" ht="5.0999999999999996" customHeight="1"/>
    <row r="14" spans="3:9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</row>
    <row r="15" spans="3:9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</row>
    <row r="16" spans="3:9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</row>
    <row r="17" spans="3:15">
      <c r="C17" s="12">
        <v>-1</v>
      </c>
      <c r="D17" s="3" t="s">
        <v>21</v>
      </c>
      <c r="E17" s="8">
        <v>10308</v>
      </c>
      <c r="F17" s="23">
        <v>0</v>
      </c>
      <c r="G17" s="14">
        <f>+F17*$E17</f>
        <v>0</v>
      </c>
      <c r="H17" s="13">
        <f>+F17</f>
        <v>0</v>
      </c>
      <c r="I17" s="14">
        <f>+H17*$E17</f>
        <v>0</v>
      </c>
      <c r="L17" s="15" t="str">
        <f>+_xlfn.CONCAT(C9,", ",C10)</f>
        <v>Traffic Control Signal Lighting Service, Schedule 42</v>
      </c>
      <c r="M17" s="16"/>
      <c r="N17" s="16"/>
      <c r="O17" s="17"/>
    </row>
    <row r="18" spans="3:15">
      <c r="C18" s="12">
        <f>+C17-1</f>
        <v>-2</v>
      </c>
      <c r="D18" s="61" t="s">
        <v>63</v>
      </c>
      <c r="E18" s="8">
        <v>3056155</v>
      </c>
      <c r="F18" s="50">
        <v>7.8462000000000004E-2</v>
      </c>
      <c r="G18" s="8">
        <f>+F18*$E18</f>
        <v>239792.03361000001</v>
      </c>
      <c r="H18" s="50">
        <v>9.5357999999999998E-2</v>
      </c>
      <c r="I18" s="8">
        <f>+H18*$E18</f>
        <v>291428.82848999999</v>
      </c>
      <c r="L18" s="19" t="s">
        <v>23</v>
      </c>
      <c r="O18" s="20">
        <f>I20</f>
        <v>291428.82848999999</v>
      </c>
    </row>
    <row r="19" spans="3:15" ht="14.25">
      <c r="C19" s="12">
        <f>+C18-1</f>
        <v>-3</v>
      </c>
      <c r="D19" s="3" t="s">
        <v>41</v>
      </c>
      <c r="F19" s="14"/>
      <c r="G19" s="28">
        <v>9252.9373820346227</v>
      </c>
      <c r="I19" s="28"/>
      <c r="L19" s="19" t="s">
        <v>25</v>
      </c>
      <c r="O19" s="20">
        <f>G20*(1+O23)</f>
        <v>291430.02179630299</v>
      </c>
    </row>
    <row r="20" spans="3:15">
      <c r="C20" s="12">
        <f>+C19-1</f>
        <v>-4</v>
      </c>
      <c r="D20" s="3" t="s">
        <v>43</v>
      </c>
      <c r="E20" s="8"/>
      <c r="F20" s="27"/>
      <c r="G20" s="14">
        <f>SUM(G17:G19)</f>
        <v>249044.97099203465</v>
      </c>
      <c r="H20" s="27"/>
      <c r="I20" s="14">
        <f>SUM(I17:I19)</f>
        <v>291428.82848999999</v>
      </c>
      <c r="L20" s="24" t="s">
        <v>27</v>
      </c>
      <c r="M20" s="25"/>
      <c r="N20" s="25"/>
      <c r="O20" s="26">
        <f>+O18-O19</f>
        <v>-1.1933063030010089</v>
      </c>
    </row>
    <row r="22" spans="3:15">
      <c r="C22" s="43" t="s">
        <v>45</v>
      </c>
      <c r="D22" s="44" t="s">
        <v>46</v>
      </c>
      <c r="E22" s="44" t="s">
        <v>46</v>
      </c>
      <c r="F22" s="44" t="s">
        <v>46</v>
      </c>
      <c r="G22" s="44" t="s">
        <v>46</v>
      </c>
      <c r="H22" s="44" t="s">
        <v>46</v>
      </c>
      <c r="I22" s="45" t="s">
        <v>47</v>
      </c>
      <c r="L22" s="30" t="s">
        <v>30</v>
      </c>
      <c r="M22" s="16"/>
      <c r="N22" s="16"/>
      <c r="O22" s="31">
        <f>+O18/$G$20-1</f>
        <v>0.17018555857255557</v>
      </c>
    </row>
    <row r="23" spans="3:15">
      <c r="L23" s="39" t="s">
        <v>25</v>
      </c>
      <c r="M23" s="25"/>
      <c r="N23" s="25"/>
      <c r="O23" s="51">
        <v>0.17019035010196598</v>
      </c>
    </row>
    <row r="25" spans="3:15">
      <c r="L25" s="41" t="s">
        <v>161</v>
      </c>
      <c r="M25" s="6"/>
      <c r="N25" s="6"/>
      <c r="O25" s="42">
        <v>0</v>
      </c>
    </row>
    <row r="27" spans="3:15">
      <c r="L27" s="41" t="s">
        <v>55</v>
      </c>
      <c r="M27" s="6"/>
      <c r="N27" s="6"/>
      <c r="O27" s="80">
        <v>0</v>
      </c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9AD1D-A013-4741-8623-DD1EACCBD7E1}">
  <sheetPr>
    <tabColor theme="4"/>
    <pageSetUpPr fitToPage="1"/>
  </sheetPr>
  <dimension ref="C3:Q39"/>
  <sheetViews>
    <sheetView showGridLines="0" view="pageBreakPreview" zoomScaleNormal="10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15">
      <c r="C3" s="1" t="s">
        <v>244</v>
      </c>
      <c r="D3" s="2"/>
      <c r="E3" s="2"/>
      <c r="F3" s="2"/>
      <c r="G3" s="2"/>
      <c r="H3" s="2"/>
      <c r="I3" s="2"/>
    </row>
    <row r="4" spans="3:15">
      <c r="C4" s="1" t="s">
        <v>248</v>
      </c>
      <c r="D4" s="2"/>
      <c r="E4" s="2"/>
      <c r="F4" s="2"/>
      <c r="G4" s="2"/>
      <c r="H4" s="2"/>
      <c r="I4" s="2"/>
    </row>
    <row r="5" spans="3:15">
      <c r="C5" s="1" t="s">
        <v>245</v>
      </c>
      <c r="D5" s="2"/>
      <c r="E5" s="2"/>
      <c r="F5" s="2"/>
      <c r="G5" s="2"/>
      <c r="H5" s="2"/>
      <c r="I5" s="2"/>
    </row>
    <row r="6" spans="3:15">
      <c r="C6" s="1" t="s">
        <v>246</v>
      </c>
      <c r="D6" s="2"/>
      <c r="E6" s="2"/>
      <c r="F6" s="2"/>
      <c r="G6" s="2"/>
      <c r="H6" s="2"/>
      <c r="I6" s="2"/>
    </row>
    <row r="7" spans="3:15">
      <c r="C7" s="1" t="s">
        <v>247</v>
      </c>
      <c r="D7" s="2"/>
      <c r="E7" s="2"/>
      <c r="F7" s="2"/>
      <c r="G7" s="2"/>
      <c r="H7" s="2"/>
      <c r="I7" s="2"/>
    </row>
    <row r="8" spans="3:15">
      <c r="C8" s="1"/>
      <c r="D8" s="2"/>
      <c r="E8" s="2"/>
      <c r="F8" s="2"/>
      <c r="G8" s="2"/>
      <c r="H8" s="2"/>
      <c r="I8" s="2"/>
    </row>
    <row r="9" spans="3:15">
      <c r="C9" s="1" t="s">
        <v>188</v>
      </c>
      <c r="D9" s="2"/>
      <c r="E9" s="2"/>
      <c r="F9" s="2"/>
      <c r="G9" s="2"/>
      <c r="H9" s="2"/>
      <c r="I9" s="2"/>
    </row>
    <row r="10" spans="3:15">
      <c r="C10" s="2" t="s">
        <v>189</v>
      </c>
      <c r="D10" s="2"/>
      <c r="E10" s="2"/>
      <c r="F10" s="2"/>
      <c r="G10" s="2"/>
      <c r="H10" s="2"/>
      <c r="I10" s="2"/>
    </row>
    <row r="11" spans="3:15" ht="5.0999999999999996" customHeight="1"/>
    <row r="12" spans="3:15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15" ht="5.0999999999999996" customHeight="1"/>
    <row r="14" spans="3:15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  <c r="L14" s="15" t="str">
        <f>+_xlfn.CONCAT(C9,", ",C10)</f>
        <v>Micron Technology, Inc., Schedule 26</v>
      </c>
      <c r="M14" s="16"/>
      <c r="N14" s="16"/>
      <c r="O14" s="17"/>
    </row>
    <row r="15" spans="3:15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  <c r="L15" s="19" t="s">
        <v>23</v>
      </c>
      <c r="O15" s="20">
        <f>+I23</f>
        <v>44832208.233277649</v>
      </c>
    </row>
    <row r="16" spans="3:15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  <c r="L16" s="19" t="s">
        <v>25</v>
      </c>
      <c r="O16" s="20">
        <f>+G23*(1+O20)</f>
        <v>44832781.841794446</v>
      </c>
    </row>
    <row r="17" spans="3:17">
      <c r="C17" s="12">
        <v>-1</v>
      </c>
      <c r="D17" s="3" t="s">
        <v>190</v>
      </c>
      <c r="E17" s="8">
        <v>1062000</v>
      </c>
      <c r="F17" s="13">
        <v>3.37</v>
      </c>
      <c r="G17" s="14">
        <f>+F17*$E17</f>
        <v>3578940</v>
      </c>
      <c r="H17" s="13">
        <v>3.12</v>
      </c>
      <c r="I17" s="14">
        <f>+H17*$E17</f>
        <v>3313440</v>
      </c>
      <c r="L17" s="24" t="s">
        <v>27</v>
      </c>
      <c r="M17" s="25"/>
      <c r="N17" s="25"/>
      <c r="O17" s="26">
        <f>+O15-O16</f>
        <v>-573.60851679742336</v>
      </c>
    </row>
    <row r="18" spans="3:17">
      <c r="C18" s="12">
        <f t="shared" ref="C18:C23" si="0">+C17-1</f>
        <v>-2</v>
      </c>
      <c r="D18" s="3" t="s">
        <v>191</v>
      </c>
      <c r="E18" s="8">
        <v>1027098.1999999998</v>
      </c>
      <c r="F18" s="18">
        <v>17.829999999999998</v>
      </c>
      <c r="G18" s="8">
        <f>+F18*$E18</f>
        <v>18313160.905999996</v>
      </c>
      <c r="H18" s="18">
        <v>23.35</v>
      </c>
      <c r="I18" s="8">
        <f>+H18*$E18</f>
        <v>23982742.969999999</v>
      </c>
    </row>
    <row r="19" spans="3:17">
      <c r="C19" s="12">
        <f t="shared" si="0"/>
        <v>-3</v>
      </c>
      <c r="D19" s="3" t="s">
        <v>192</v>
      </c>
      <c r="E19" s="8">
        <v>0</v>
      </c>
      <c r="F19" s="141">
        <v>1.288</v>
      </c>
      <c r="G19" s="8">
        <f>+F19*$E19</f>
        <v>0</v>
      </c>
      <c r="H19" s="141">
        <v>1.248</v>
      </c>
      <c r="I19" s="8">
        <f>+H19*$E19</f>
        <v>0</v>
      </c>
      <c r="L19" s="30" t="s">
        <v>30</v>
      </c>
      <c r="M19" s="16"/>
      <c r="N19" s="16"/>
      <c r="O19" s="31">
        <f>+IFERROR(O15/G23-1,0)</f>
        <v>3.9261399281834475E-2</v>
      </c>
    </row>
    <row r="20" spans="3:17">
      <c r="C20" s="12">
        <f t="shared" si="0"/>
        <v>-4</v>
      </c>
      <c r="D20" s="3" t="s">
        <v>193</v>
      </c>
      <c r="E20" s="8">
        <v>0</v>
      </c>
      <c r="F20" s="141">
        <v>0</v>
      </c>
      <c r="G20" s="8">
        <f>+F20*$E20</f>
        <v>0</v>
      </c>
      <c r="H20" s="141">
        <v>0</v>
      </c>
      <c r="I20" s="8">
        <f>+H20*$E20</f>
        <v>0</v>
      </c>
      <c r="L20" s="39" t="s">
        <v>25</v>
      </c>
      <c r="M20" s="25"/>
      <c r="N20" s="25"/>
      <c r="O20" s="51">
        <v>3.9274696177376701E-2</v>
      </c>
    </row>
    <row r="21" spans="3:17">
      <c r="C21" s="12">
        <f t="shared" si="0"/>
        <v>-5</v>
      </c>
      <c r="D21" s="3" t="s">
        <v>63</v>
      </c>
      <c r="E21" s="8">
        <v>635708728.05066705</v>
      </c>
      <c r="F21" s="23">
        <v>3.0394000000000001E-2</v>
      </c>
      <c r="G21" s="8">
        <f>+F21*$E21</f>
        <v>19321731.080371976</v>
      </c>
      <c r="H21" s="23">
        <v>2.7584999999999998E-2</v>
      </c>
      <c r="I21" s="8">
        <f>+H21*$E21</f>
        <v>17536025.26327765</v>
      </c>
      <c r="O21" s="18"/>
    </row>
    <row r="22" spans="3:17" ht="14.25">
      <c r="C22" s="12">
        <f t="shared" si="0"/>
        <v>-6</v>
      </c>
      <c r="D22" s="3" t="s">
        <v>41</v>
      </c>
      <c r="E22" s="8"/>
      <c r="G22" s="28">
        <v>1924697.2270273264</v>
      </c>
      <c r="I22" s="28"/>
      <c r="L22" s="41" t="s">
        <v>194</v>
      </c>
      <c r="M22" s="6"/>
      <c r="N22" s="6"/>
      <c r="O22" s="80">
        <v>3.12</v>
      </c>
    </row>
    <row r="23" spans="3:17">
      <c r="C23" s="12">
        <f t="shared" si="0"/>
        <v>-7</v>
      </c>
      <c r="D23" s="3" t="s">
        <v>43</v>
      </c>
      <c r="E23" s="8"/>
      <c r="G23" s="14">
        <f>SUM(G17:G22)</f>
        <v>43138529.213399298</v>
      </c>
      <c r="I23" s="14">
        <f>SUM(I17:I22)</f>
        <v>44832208.233277649</v>
      </c>
      <c r="O23" s="142"/>
      <c r="Q23" s="18"/>
    </row>
    <row r="24" spans="3:17">
      <c r="L24" s="30" t="s">
        <v>195</v>
      </c>
      <c r="M24" s="16"/>
      <c r="N24" s="16"/>
      <c r="O24" s="143">
        <v>17455771.688997947</v>
      </c>
    </row>
    <row r="25" spans="3:17">
      <c r="C25" s="43" t="s">
        <v>45</v>
      </c>
      <c r="D25" s="44" t="s">
        <v>46</v>
      </c>
      <c r="E25" s="44" t="s">
        <v>46</v>
      </c>
      <c r="F25" s="44" t="s">
        <v>46</v>
      </c>
      <c r="G25" s="44" t="s">
        <v>46</v>
      </c>
      <c r="H25" s="44" t="s">
        <v>46</v>
      </c>
      <c r="I25" s="45" t="s">
        <v>47</v>
      </c>
      <c r="L25" s="19" t="s">
        <v>196</v>
      </c>
      <c r="O25" s="36">
        <v>0</v>
      </c>
    </row>
    <row r="26" spans="3:17">
      <c r="G26" s="14"/>
      <c r="L26" s="19" t="s">
        <v>197</v>
      </c>
      <c r="O26" s="36">
        <v>0</v>
      </c>
    </row>
    <row r="27" spans="3:17" ht="14.25">
      <c r="L27" s="19" t="s">
        <v>198</v>
      </c>
      <c r="O27" s="144">
        <v>79299.836678404448</v>
      </c>
    </row>
    <row r="28" spans="3:17">
      <c r="I28" s="14"/>
      <c r="L28" s="145" t="s">
        <v>199</v>
      </c>
      <c r="M28" s="25"/>
      <c r="N28" s="25"/>
      <c r="O28" s="26">
        <f>SUM(O24:O27)</f>
        <v>17535071.525676351</v>
      </c>
    </row>
    <row r="30" spans="3:17">
      <c r="L30" s="41" t="s">
        <v>161</v>
      </c>
      <c r="M30" s="6"/>
      <c r="N30" s="6"/>
      <c r="O30" s="146">
        <v>0</v>
      </c>
    </row>
    <row r="32" spans="3:17">
      <c r="L32" s="41" t="s">
        <v>55</v>
      </c>
      <c r="M32" s="6"/>
      <c r="N32" s="6"/>
      <c r="O32" s="49">
        <v>1.9999999999999999E-6</v>
      </c>
    </row>
    <row r="39" spans="15:15">
      <c r="O39" s="18"/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9C016-8EE6-466B-8B25-1957EDF2387D}">
  <sheetPr>
    <tabColor theme="4"/>
    <pageSetUpPr fitToPage="1"/>
  </sheetPr>
  <dimension ref="C3:Q32"/>
  <sheetViews>
    <sheetView showGridLines="0" view="pageBreakPreview" zoomScaleNormal="10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15">
      <c r="C3" s="1" t="s">
        <v>244</v>
      </c>
      <c r="D3" s="2"/>
      <c r="E3" s="2"/>
      <c r="F3" s="2"/>
      <c r="G3" s="2"/>
      <c r="H3" s="2"/>
      <c r="I3" s="2"/>
    </row>
    <row r="4" spans="3:15">
      <c r="C4" s="1" t="s">
        <v>248</v>
      </c>
      <c r="D4" s="2"/>
      <c r="E4" s="2"/>
      <c r="F4" s="2"/>
      <c r="G4" s="2"/>
      <c r="H4" s="2"/>
      <c r="I4" s="2"/>
    </row>
    <row r="5" spans="3:15">
      <c r="C5" s="1" t="s">
        <v>245</v>
      </c>
      <c r="D5" s="2"/>
      <c r="E5" s="2"/>
      <c r="F5" s="2"/>
      <c r="G5" s="2"/>
      <c r="H5" s="2"/>
      <c r="I5" s="2"/>
    </row>
    <row r="6" spans="3:15">
      <c r="C6" s="1" t="s">
        <v>246</v>
      </c>
      <c r="D6" s="2"/>
      <c r="E6" s="2"/>
      <c r="F6" s="2"/>
      <c r="G6" s="2"/>
      <c r="H6" s="2"/>
      <c r="I6" s="2"/>
    </row>
    <row r="7" spans="3:15">
      <c r="C7" s="1" t="s">
        <v>247</v>
      </c>
      <c r="D7" s="2"/>
      <c r="E7" s="2"/>
      <c r="F7" s="2"/>
      <c r="G7" s="2"/>
      <c r="H7" s="2"/>
      <c r="I7" s="2"/>
    </row>
    <row r="8" spans="3:15">
      <c r="C8" s="1"/>
      <c r="D8" s="2"/>
      <c r="E8" s="2"/>
      <c r="F8" s="2"/>
      <c r="G8" s="2"/>
      <c r="H8" s="2"/>
      <c r="I8" s="2"/>
    </row>
    <row r="9" spans="3:15">
      <c r="C9" s="1" t="s">
        <v>200</v>
      </c>
      <c r="D9" s="2"/>
      <c r="E9" s="2"/>
      <c r="F9" s="2"/>
      <c r="G9" s="2"/>
      <c r="H9" s="2"/>
      <c r="I9" s="2"/>
    </row>
    <row r="10" spans="3:15">
      <c r="C10" s="2" t="s">
        <v>201</v>
      </c>
      <c r="D10" s="2"/>
      <c r="E10" s="2"/>
      <c r="F10" s="2"/>
      <c r="G10" s="2"/>
      <c r="H10" s="2"/>
      <c r="I10" s="2"/>
    </row>
    <row r="11" spans="3:15" ht="5.0999999999999996" customHeight="1"/>
    <row r="12" spans="3:15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15" ht="5.0999999999999996" customHeight="1"/>
    <row r="14" spans="3:15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  <c r="L14" s="15" t="str">
        <f>+_xlfn.CONCAT(C9,", ",C10)</f>
        <v>J.R. Simplot Company - Pocatello, Schedule 29</v>
      </c>
      <c r="M14" s="16"/>
      <c r="N14" s="16"/>
      <c r="O14" s="17"/>
    </row>
    <row r="15" spans="3:15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  <c r="L15" s="19" t="s">
        <v>23</v>
      </c>
      <c r="O15" s="20">
        <f>+I22</f>
        <v>13593986.934015598</v>
      </c>
    </row>
    <row r="16" spans="3:15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  <c r="L16" s="19" t="s">
        <v>25</v>
      </c>
      <c r="O16" s="20">
        <f>+G22*(1+O20)</f>
        <v>13594027.26307583</v>
      </c>
    </row>
    <row r="17" spans="3:17">
      <c r="C17" s="12">
        <v>-1</v>
      </c>
      <c r="D17" s="3" t="s">
        <v>190</v>
      </c>
      <c r="E17" s="8">
        <v>300000</v>
      </c>
      <c r="F17" s="13">
        <v>3.25</v>
      </c>
      <c r="G17" s="14">
        <f>+F17*$E17</f>
        <v>975000</v>
      </c>
      <c r="H17" s="13">
        <v>3.12</v>
      </c>
      <c r="I17" s="14">
        <f>+H17*$E17</f>
        <v>936000</v>
      </c>
      <c r="L17" s="24" t="s">
        <v>27</v>
      </c>
      <c r="M17" s="25"/>
      <c r="N17" s="25"/>
      <c r="O17" s="26">
        <f>+O15-O16</f>
        <v>-40.329060232266784</v>
      </c>
    </row>
    <row r="18" spans="3:17">
      <c r="C18" s="12">
        <f>+C17-1</f>
        <v>-2</v>
      </c>
      <c r="D18" s="3" t="s">
        <v>191</v>
      </c>
      <c r="E18" s="8">
        <v>330991.82932698639</v>
      </c>
      <c r="F18" s="18">
        <v>14.8</v>
      </c>
      <c r="G18" s="8">
        <f>+F18*$E18</f>
        <v>4898679.0740393987</v>
      </c>
      <c r="H18" s="18">
        <v>18.55</v>
      </c>
      <c r="I18" s="8">
        <f>+H18*$E18</f>
        <v>6139898.4340155981</v>
      </c>
    </row>
    <row r="19" spans="3:17">
      <c r="C19" s="12">
        <f>+C18-1</f>
        <v>-3</v>
      </c>
      <c r="D19" s="3" t="s">
        <v>192</v>
      </c>
      <c r="E19" s="8">
        <v>0</v>
      </c>
      <c r="F19" s="141">
        <v>1.2669999999999999</v>
      </c>
      <c r="G19" s="8">
        <f>+F19*$E19</f>
        <v>0</v>
      </c>
      <c r="H19" s="141">
        <v>1.248</v>
      </c>
      <c r="I19" s="8">
        <f>+H19*$E19</f>
        <v>0</v>
      </c>
      <c r="L19" s="30" t="s">
        <v>30</v>
      </c>
      <c r="M19" s="16"/>
      <c r="N19" s="16"/>
      <c r="O19" s="31">
        <f>+IFERROR(O15/G22-1,0)</f>
        <v>3.9271612987163085E-2</v>
      </c>
    </row>
    <row r="20" spans="3:17">
      <c r="C20" s="12">
        <f>+C19-1</f>
        <v>-4</v>
      </c>
      <c r="D20" s="3" t="s">
        <v>63</v>
      </c>
      <c r="E20" s="8">
        <v>211750000.00000003</v>
      </c>
      <c r="F20" s="27">
        <v>3.1006000000000002E-2</v>
      </c>
      <c r="G20" s="8">
        <f>+F20*$E20</f>
        <v>6565520.5000000019</v>
      </c>
      <c r="H20" s="27">
        <v>3.0782E-2</v>
      </c>
      <c r="I20" s="8">
        <f>+H20*$E20</f>
        <v>6518088.5000000009</v>
      </c>
      <c r="L20" s="39" t="s">
        <v>25</v>
      </c>
      <c r="M20" s="25"/>
      <c r="N20" s="25"/>
      <c r="O20" s="51">
        <v>3.9274696177376708E-2</v>
      </c>
    </row>
    <row r="21" spans="3:17" ht="14.25">
      <c r="C21" s="12">
        <f>+C20-1</f>
        <v>-5</v>
      </c>
      <c r="D21" s="3" t="s">
        <v>41</v>
      </c>
      <c r="E21" s="8"/>
      <c r="G21" s="28">
        <v>641102.78786443477</v>
      </c>
      <c r="I21" s="28"/>
      <c r="O21" s="18"/>
    </row>
    <row r="22" spans="3:17">
      <c r="C22" s="12">
        <f>+C21-1</f>
        <v>-6</v>
      </c>
      <c r="D22" s="3" t="s">
        <v>43</v>
      </c>
      <c r="E22" s="8"/>
      <c r="G22" s="14">
        <f>SUM(G17:G21)</f>
        <v>13080302.361903835</v>
      </c>
      <c r="I22" s="14">
        <f>SUM(I17:I21)</f>
        <v>13593986.934015598</v>
      </c>
      <c r="L22" s="41" t="s">
        <v>194</v>
      </c>
      <c r="M22" s="6"/>
      <c r="N22" s="6"/>
      <c r="O22" s="80">
        <v>3.12</v>
      </c>
      <c r="Q22" s="18"/>
    </row>
    <row r="23" spans="3:17">
      <c r="O23" s="142"/>
    </row>
    <row r="24" spans="3:17">
      <c r="C24" s="43" t="s">
        <v>45</v>
      </c>
      <c r="D24" s="44" t="s">
        <v>46</v>
      </c>
      <c r="E24" s="44" t="s">
        <v>46</v>
      </c>
      <c r="F24" s="44" t="s">
        <v>46</v>
      </c>
      <c r="G24" s="44" t="s">
        <v>46</v>
      </c>
      <c r="H24" s="44" t="s">
        <v>46</v>
      </c>
      <c r="I24" s="45" t="s">
        <v>47</v>
      </c>
      <c r="L24" s="30" t="s">
        <v>195</v>
      </c>
      <c r="M24" s="16"/>
      <c r="N24" s="16"/>
      <c r="O24" s="143">
        <v>6492173.8242681306</v>
      </c>
    </row>
    <row r="25" spans="3:17">
      <c r="L25" s="19" t="s">
        <v>196</v>
      </c>
      <c r="O25" s="36">
        <v>0</v>
      </c>
    </row>
    <row r="26" spans="3:17">
      <c r="L26" s="19" t="s">
        <v>197</v>
      </c>
      <c r="O26" s="36">
        <v>0</v>
      </c>
    </row>
    <row r="27" spans="3:17" ht="14.25">
      <c r="I27" s="14"/>
      <c r="L27" s="19" t="s">
        <v>198</v>
      </c>
      <c r="O27" s="144">
        <v>26414.204612452348</v>
      </c>
    </row>
    <row r="28" spans="3:17">
      <c r="L28" s="145" t="s">
        <v>199</v>
      </c>
      <c r="M28" s="25"/>
      <c r="N28" s="25"/>
      <c r="O28" s="26">
        <f>SUM(O24:O27)</f>
        <v>6518588.0288805831</v>
      </c>
    </row>
    <row r="30" spans="3:17">
      <c r="L30" s="41" t="s">
        <v>161</v>
      </c>
      <c r="M30" s="6"/>
      <c r="N30" s="6"/>
      <c r="O30" s="146">
        <v>0</v>
      </c>
    </row>
    <row r="32" spans="3:17">
      <c r="L32" s="41" t="s">
        <v>55</v>
      </c>
      <c r="M32" s="6"/>
      <c r="N32" s="6"/>
      <c r="O32" s="49">
        <v>-1.9999999999999999E-6</v>
      </c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7299D-64A6-4919-B618-A4516B0CCFD7}">
  <sheetPr>
    <tabColor theme="4"/>
    <pageSetUpPr fitToPage="1"/>
  </sheetPr>
  <dimension ref="C3:Q30"/>
  <sheetViews>
    <sheetView showGridLines="0" view="pageBreakPreview" zoomScaleNormal="10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384" width="9.140625" style="3"/>
  </cols>
  <sheetData>
    <row r="3" spans="3:15">
      <c r="C3" s="1" t="s">
        <v>244</v>
      </c>
      <c r="D3" s="2"/>
      <c r="E3" s="2"/>
      <c r="F3" s="2"/>
      <c r="G3" s="2"/>
      <c r="H3" s="2"/>
      <c r="I3" s="2"/>
    </row>
    <row r="4" spans="3:15">
      <c r="C4" s="1" t="s">
        <v>248</v>
      </c>
      <c r="D4" s="2"/>
      <c r="E4" s="2"/>
      <c r="F4" s="2"/>
      <c r="G4" s="2"/>
      <c r="H4" s="2"/>
      <c r="I4" s="2"/>
    </row>
    <row r="5" spans="3:15">
      <c r="C5" s="1" t="s">
        <v>245</v>
      </c>
      <c r="D5" s="2"/>
      <c r="E5" s="2"/>
      <c r="F5" s="2"/>
      <c r="G5" s="2"/>
      <c r="H5" s="2"/>
      <c r="I5" s="2"/>
    </row>
    <row r="6" spans="3:15">
      <c r="C6" s="1" t="s">
        <v>246</v>
      </c>
      <c r="D6" s="2"/>
      <c r="E6" s="2"/>
      <c r="F6" s="2"/>
      <c r="G6" s="2"/>
      <c r="H6" s="2"/>
      <c r="I6" s="2"/>
    </row>
    <row r="7" spans="3:15">
      <c r="C7" s="1" t="s">
        <v>247</v>
      </c>
      <c r="D7" s="2"/>
      <c r="E7" s="2"/>
      <c r="F7" s="2"/>
      <c r="G7" s="2"/>
      <c r="H7" s="2"/>
      <c r="I7" s="2"/>
    </row>
    <row r="8" spans="3:15">
      <c r="C8" s="1"/>
      <c r="D8" s="2"/>
      <c r="E8" s="2"/>
      <c r="F8" s="2"/>
      <c r="G8" s="2"/>
      <c r="H8" s="2"/>
      <c r="I8" s="2"/>
    </row>
    <row r="9" spans="3:15">
      <c r="C9" s="1" t="s">
        <v>202</v>
      </c>
      <c r="D9" s="2"/>
      <c r="E9" s="2"/>
      <c r="F9" s="2"/>
      <c r="G9" s="2"/>
      <c r="H9" s="2"/>
      <c r="I9" s="2"/>
    </row>
    <row r="10" spans="3:15">
      <c r="C10" s="2" t="s">
        <v>203</v>
      </c>
      <c r="D10" s="2"/>
      <c r="E10" s="2"/>
      <c r="F10" s="2"/>
      <c r="G10" s="2"/>
      <c r="H10" s="2"/>
      <c r="I10" s="2"/>
    </row>
    <row r="11" spans="3:15" ht="5.0999999999999996" customHeight="1"/>
    <row r="12" spans="3:15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15" ht="5.0999999999999996" customHeight="1"/>
    <row r="14" spans="3:15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  <c r="L14" s="15" t="str">
        <f>+_xlfn.CONCAT(C9,", ",C10)</f>
        <v>United States Department of Energy, Schedule 30</v>
      </c>
      <c r="M14" s="16"/>
      <c r="N14" s="16"/>
      <c r="O14" s="17"/>
    </row>
    <row r="15" spans="3:15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  <c r="L15" s="19" t="s">
        <v>23</v>
      </c>
      <c r="O15" s="20">
        <f>+I22</f>
        <v>15991581.100086801</v>
      </c>
    </row>
    <row r="16" spans="3:15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  <c r="L16" s="19" t="s">
        <v>25</v>
      </c>
      <c r="O16" s="20">
        <f>+G22*(1+O20)</f>
        <v>15991674.943858115</v>
      </c>
    </row>
    <row r="17" spans="3:17">
      <c r="C17" s="12">
        <v>-1</v>
      </c>
      <c r="D17" s="3" t="s">
        <v>190</v>
      </c>
      <c r="E17" s="147"/>
      <c r="F17" s="148"/>
      <c r="G17" s="149"/>
      <c r="H17" s="148"/>
      <c r="I17" s="149"/>
      <c r="L17" s="24" t="s">
        <v>27</v>
      </c>
      <c r="M17" s="25"/>
      <c r="N17" s="25"/>
      <c r="O17" s="26">
        <f>+O15-O16</f>
        <v>-93.843771314248443</v>
      </c>
    </row>
    <row r="18" spans="3:17">
      <c r="C18" s="12">
        <f>+C17-1</f>
        <v>-2</v>
      </c>
      <c r="D18" s="3" t="s">
        <v>191</v>
      </c>
      <c r="E18" s="8">
        <v>434422.0757619596</v>
      </c>
      <c r="F18" s="13">
        <v>10.17</v>
      </c>
      <c r="G18" s="14">
        <f>+F18*$E18</f>
        <v>4418072.5104991291</v>
      </c>
      <c r="H18" s="13">
        <v>19.8</v>
      </c>
      <c r="I18" s="14">
        <f>+H18*$E18</f>
        <v>8601557.1000868008</v>
      </c>
    </row>
    <row r="19" spans="3:17">
      <c r="C19" s="12">
        <f>+C18-1</f>
        <v>-3</v>
      </c>
      <c r="D19" s="3" t="s">
        <v>192</v>
      </c>
      <c r="E19" s="147"/>
      <c r="F19" s="148"/>
      <c r="G19" s="149"/>
      <c r="H19" s="148"/>
      <c r="I19" s="149"/>
      <c r="L19" s="30" t="s">
        <v>30</v>
      </c>
      <c r="M19" s="16"/>
      <c r="N19" s="16"/>
      <c r="O19" s="31">
        <f>+IFERROR(O15/G22-1,0)</f>
        <v>3.9268597413034456E-2</v>
      </c>
    </row>
    <row r="20" spans="3:17">
      <c r="C20" s="12">
        <f>+C19-1</f>
        <v>-4</v>
      </c>
      <c r="D20" s="3" t="s">
        <v>63</v>
      </c>
      <c r="E20" s="8">
        <v>240999999.99999997</v>
      </c>
      <c r="F20" s="150">
        <v>4.2488000000000005E-2</v>
      </c>
      <c r="G20" s="14">
        <f>+F20*$E20</f>
        <v>10239608</v>
      </c>
      <c r="H20" s="150">
        <v>3.0664E-2</v>
      </c>
      <c r="I20" s="14">
        <f>+H20*$E20</f>
        <v>7390023.9999999991</v>
      </c>
      <c r="L20" s="39" t="s">
        <v>25</v>
      </c>
      <c r="M20" s="25"/>
      <c r="N20" s="25"/>
      <c r="O20" s="51">
        <v>3.9274696177376715E-2</v>
      </c>
    </row>
    <row r="21" spans="3:17" ht="14.25">
      <c r="C21" s="12">
        <f>+C20-1</f>
        <v>-5</v>
      </c>
      <c r="D21" s="3" t="s">
        <v>41</v>
      </c>
      <c r="E21" s="8"/>
      <c r="G21" s="28">
        <v>729661.26033213094</v>
      </c>
      <c r="I21" s="28"/>
      <c r="O21" s="18"/>
    </row>
    <row r="22" spans="3:17">
      <c r="C22" s="12">
        <f>+C21-1</f>
        <v>-6</v>
      </c>
      <c r="D22" s="3" t="s">
        <v>43</v>
      </c>
      <c r="E22" s="8"/>
      <c r="G22" s="14">
        <f>SUM(G17:G21)</f>
        <v>15387341.770831261</v>
      </c>
      <c r="I22" s="14">
        <f>SUM(I17:I21)</f>
        <v>15991581.100086801</v>
      </c>
      <c r="L22" s="30" t="s">
        <v>195</v>
      </c>
      <c r="M22" s="16"/>
      <c r="N22" s="16"/>
      <c r="O22" s="143">
        <v>7358386.7225054381</v>
      </c>
      <c r="Q22" s="18"/>
    </row>
    <row r="23" spans="3:17">
      <c r="L23" s="19" t="s">
        <v>196</v>
      </c>
      <c r="O23" s="36">
        <v>0</v>
      </c>
    </row>
    <row r="24" spans="3:17">
      <c r="C24" s="43" t="s">
        <v>45</v>
      </c>
      <c r="D24" s="44" t="s">
        <v>46</v>
      </c>
      <c r="E24" s="44" t="s">
        <v>46</v>
      </c>
      <c r="F24" s="44" t="s">
        <v>46</v>
      </c>
      <c r="G24" s="44" t="s">
        <v>46</v>
      </c>
      <c r="H24" s="44" t="s">
        <v>46</v>
      </c>
      <c r="I24" s="45" t="s">
        <v>47</v>
      </c>
      <c r="L24" s="19" t="s">
        <v>197</v>
      </c>
      <c r="O24" s="36">
        <v>0</v>
      </c>
    </row>
    <row r="25" spans="3:17" ht="14.25">
      <c r="L25" s="19" t="s">
        <v>198</v>
      </c>
      <c r="O25" s="144">
        <v>30062.920007560868</v>
      </c>
    </row>
    <row r="26" spans="3:17">
      <c r="L26" s="145" t="s">
        <v>199</v>
      </c>
      <c r="M26" s="25"/>
      <c r="N26" s="25"/>
      <c r="O26" s="26">
        <f>SUM(O22:O25)</f>
        <v>7388449.6425129995</v>
      </c>
    </row>
    <row r="27" spans="3:17">
      <c r="I27" s="14"/>
    </row>
    <row r="28" spans="3:17">
      <c r="L28" s="41" t="s">
        <v>161</v>
      </c>
      <c r="M28" s="6"/>
      <c r="N28" s="6"/>
      <c r="O28" s="146">
        <v>0</v>
      </c>
    </row>
    <row r="30" spans="3:17">
      <c r="L30" s="41" t="s">
        <v>55</v>
      </c>
      <c r="M30" s="6"/>
      <c r="N30" s="6"/>
      <c r="O30" s="49">
        <v>6.9999999999999999E-6</v>
      </c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97160-3556-4800-9BBD-1411767180A3}">
  <sheetPr>
    <tabColor theme="4"/>
    <pageSetUpPr fitToPage="1"/>
  </sheetPr>
  <dimension ref="C3:R46"/>
  <sheetViews>
    <sheetView showGridLines="0" view="pageBreakPreview" topLeftCell="A10" zoomScaleNormal="10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9" width="12" style="3" bestFit="1" customWidth="1"/>
    <col min="20" max="16384" width="9.140625" style="3"/>
  </cols>
  <sheetData>
    <row r="3" spans="3:15">
      <c r="C3" s="1" t="s">
        <v>244</v>
      </c>
      <c r="D3" s="2"/>
      <c r="E3" s="2"/>
      <c r="F3" s="2"/>
      <c r="G3" s="2"/>
      <c r="H3" s="2"/>
      <c r="I3" s="2"/>
    </row>
    <row r="4" spans="3:15">
      <c r="C4" s="1" t="s">
        <v>248</v>
      </c>
      <c r="D4" s="2"/>
      <c r="E4" s="2"/>
      <c r="F4" s="2"/>
      <c r="G4" s="2"/>
      <c r="H4" s="2"/>
      <c r="I4" s="2"/>
    </row>
    <row r="5" spans="3:15">
      <c r="C5" s="1" t="s">
        <v>245</v>
      </c>
      <c r="D5" s="2"/>
      <c r="E5" s="2"/>
      <c r="F5" s="2"/>
      <c r="G5" s="2"/>
      <c r="H5" s="2"/>
      <c r="I5" s="2"/>
    </row>
    <row r="6" spans="3:15">
      <c r="C6" s="1" t="s">
        <v>246</v>
      </c>
      <c r="D6" s="2"/>
      <c r="E6" s="2"/>
      <c r="F6" s="2"/>
      <c r="G6" s="2"/>
      <c r="H6" s="2"/>
      <c r="I6" s="2"/>
    </row>
    <row r="7" spans="3:15">
      <c r="C7" s="1" t="s">
        <v>247</v>
      </c>
      <c r="D7" s="2"/>
      <c r="E7" s="2"/>
      <c r="F7" s="2"/>
      <c r="G7" s="2"/>
      <c r="H7" s="2"/>
      <c r="I7" s="2"/>
    </row>
    <row r="8" spans="3:15">
      <c r="C8" s="1"/>
      <c r="D8" s="2"/>
      <c r="E8" s="2"/>
      <c r="F8" s="2"/>
      <c r="G8" s="2"/>
      <c r="H8" s="2"/>
      <c r="I8" s="2"/>
    </row>
    <row r="9" spans="3:15">
      <c r="C9" s="1" t="s">
        <v>204</v>
      </c>
      <c r="D9" s="2"/>
      <c r="E9" s="2"/>
      <c r="F9" s="2"/>
      <c r="G9" s="2"/>
      <c r="H9" s="2"/>
      <c r="I9" s="2"/>
    </row>
    <row r="10" spans="3:15">
      <c r="C10" s="2" t="s">
        <v>205</v>
      </c>
      <c r="D10" s="2"/>
      <c r="E10" s="2"/>
      <c r="F10" s="2"/>
      <c r="G10" s="2"/>
      <c r="H10" s="2"/>
      <c r="I10" s="2"/>
    </row>
    <row r="11" spans="3:15" ht="5.0999999999999996" customHeight="1"/>
    <row r="12" spans="3:15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15" ht="5.0999999999999996" customHeight="1"/>
    <row r="14" spans="3:15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  <c r="L14" s="15" t="str">
        <f>+_xlfn.CONCAT(C9,", ",C10)</f>
        <v>J.R. Simplot Company - Caldwell, Schedule 32</v>
      </c>
      <c r="M14" s="16"/>
      <c r="N14" s="16"/>
      <c r="O14" s="17"/>
    </row>
    <row r="15" spans="3:15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  <c r="L15" s="19" t="s">
        <v>23</v>
      </c>
      <c r="O15" s="20">
        <f>+I30</f>
        <v>11197022.780599531</v>
      </c>
    </row>
    <row r="16" spans="3:15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  <c r="L16" s="19" t="s">
        <v>25</v>
      </c>
      <c r="O16" s="20">
        <f>+G30*(1+O20)</f>
        <v>11197060.454674345</v>
      </c>
    </row>
    <row r="17" spans="3:17">
      <c r="C17" s="12">
        <v>-1</v>
      </c>
      <c r="D17" s="21" t="s">
        <v>190</v>
      </c>
      <c r="L17" s="24" t="s">
        <v>27</v>
      </c>
      <c r="M17" s="25"/>
      <c r="N17" s="25"/>
      <c r="O17" s="26">
        <f>+O15-O16</f>
        <v>-37.674074813723564</v>
      </c>
    </row>
    <row r="18" spans="3:17">
      <c r="C18" s="12">
        <f>+C17-1</f>
        <v>-2</v>
      </c>
      <c r="D18" s="22" t="s">
        <v>206</v>
      </c>
      <c r="E18" s="8">
        <v>100000</v>
      </c>
      <c r="F18" s="13">
        <v>3.3</v>
      </c>
      <c r="G18" s="14">
        <f>+F18*$E18</f>
        <v>330000</v>
      </c>
      <c r="H18" s="13">
        <v>3.12</v>
      </c>
      <c r="I18" s="14">
        <f>+H18*$E18</f>
        <v>312000</v>
      </c>
    </row>
    <row r="19" spans="3:17">
      <c r="C19" s="12">
        <f t="shared" ref="C19:C30" si="0">+C18-1</f>
        <v>-3</v>
      </c>
      <c r="D19" s="22" t="s">
        <v>207</v>
      </c>
      <c r="E19" s="8">
        <v>200000</v>
      </c>
      <c r="F19" s="18">
        <v>3.3</v>
      </c>
      <c r="G19" s="8">
        <f>+F19*$E19</f>
        <v>660000</v>
      </c>
      <c r="H19" s="18">
        <v>3.12</v>
      </c>
      <c r="I19" s="8">
        <f>+H19*$E19</f>
        <v>624000</v>
      </c>
      <c r="L19" s="30" t="s">
        <v>30</v>
      </c>
      <c r="M19" s="16"/>
      <c r="N19" s="16"/>
      <c r="O19" s="31">
        <f>+IFERROR(O15/G30-1,0)</f>
        <v>3.9271199392411082E-2</v>
      </c>
    </row>
    <row r="20" spans="3:17">
      <c r="C20" s="12">
        <f t="shared" si="0"/>
        <v>-4</v>
      </c>
      <c r="D20" s="21" t="s">
        <v>191</v>
      </c>
      <c r="L20" s="39" t="s">
        <v>25</v>
      </c>
      <c r="M20" s="25"/>
      <c r="N20" s="25"/>
      <c r="O20" s="51">
        <v>3.9274696177376715E-2</v>
      </c>
    </row>
    <row r="21" spans="3:17">
      <c r="C21" s="12">
        <f t="shared" si="0"/>
        <v>-5</v>
      </c>
      <c r="D21" s="22" t="s">
        <v>206</v>
      </c>
      <c r="E21" s="8">
        <v>87426.208684202196</v>
      </c>
      <c r="F21" s="13">
        <v>19.600000000000001</v>
      </c>
      <c r="G21" s="14">
        <f>+F21*$E21</f>
        <v>1713553.6902103631</v>
      </c>
      <c r="H21" s="13">
        <v>23.99</v>
      </c>
      <c r="I21" s="14">
        <f>+H21*$E21</f>
        <v>2097354.7463340107</v>
      </c>
      <c r="O21" s="18"/>
    </row>
    <row r="22" spans="3:17">
      <c r="C22" s="12">
        <f t="shared" si="0"/>
        <v>-6</v>
      </c>
      <c r="D22" s="22" t="s">
        <v>207</v>
      </c>
      <c r="E22" s="8">
        <v>163125.63816938415</v>
      </c>
      <c r="F22" s="18">
        <v>16.2</v>
      </c>
      <c r="G22" s="8">
        <f>+F22*$E22</f>
        <v>2642635.3383440231</v>
      </c>
      <c r="H22" s="18">
        <v>20.39</v>
      </c>
      <c r="I22" s="8">
        <f>+H22*$E22</f>
        <v>3326131.7622737428</v>
      </c>
      <c r="L22" s="41" t="s">
        <v>161</v>
      </c>
      <c r="M22" s="6"/>
      <c r="N22" s="6"/>
      <c r="O22" s="146">
        <v>0</v>
      </c>
    </row>
    <row r="23" spans="3:17">
      <c r="C23" s="12">
        <f t="shared" si="0"/>
        <v>-7</v>
      </c>
      <c r="D23" s="21" t="s">
        <v>192</v>
      </c>
      <c r="F23" s="18"/>
      <c r="H23" s="18"/>
      <c r="O23" s="18"/>
    </row>
    <row r="24" spans="3:17">
      <c r="C24" s="12">
        <f t="shared" si="0"/>
        <v>-8</v>
      </c>
      <c r="D24" s="22" t="s">
        <v>206</v>
      </c>
      <c r="E24" s="8">
        <v>0</v>
      </c>
      <c r="F24" s="151">
        <v>1.2929999999999999</v>
      </c>
      <c r="G24" s="14">
        <f>+F24*$E24</f>
        <v>0</v>
      </c>
      <c r="H24" s="151">
        <v>1.248</v>
      </c>
      <c r="I24" s="14">
        <f>+H24*$E24</f>
        <v>0</v>
      </c>
      <c r="L24" s="41" t="s">
        <v>194</v>
      </c>
      <c r="M24" s="6"/>
      <c r="N24" s="6"/>
      <c r="O24" s="80">
        <v>3.12</v>
      </c>
    </row>
    <row r="25" spans="3:17">
      <c r="C25" s="12">
        <f t="shared" si="0"/>
        <v>-9</v>
      </c>
      <c r="D25" s="22" t="s">
        <v>207</v>
      </c>
      <c r="E25" s="8">
        <v>0</v>
      </c>
      <c r="F25" s="152">
        <v>1.2929999999999999</v>
      </c>
      <c r="G25" s="8">
        <f>+F25*$E25</f>
        <v>0</v>
      </c>
      <c r="H25" s="152">
        <v>1.248</v>
      </c>
      <c r="I25" s="8">
        <f>+H25*$E25</f>
        <v>0</v>
      </c>
      <c r="O25" s="18"/>
    </row>
    <row r="26" spans="3:17">
      <c r="C26" s="12">
        <f t="shared" si="0"/>
        <v>-10</v>
      </c>
      <c r="D26" s="21" t="s">
        <v>208</v>
      </c>
      <c r="L26" s="153" t="s">
        <v>209</v>
      </c>
      <c r="M26" s="154"/>
      <c r="N26" s="154"/>
      <c r="O26" s="154"/>
      <c r="P26" s="154"/>
      <c r="Q26" s="155"/>
    </row>
    <row r="27" spans="3:17">
      <c r="C27" s="12">
        <f t="shared" si="0"/>
        <v>-11</v>
      </c>
      <c r="D27" s="22" t="s">
        <v>206</v>
      </c>
      <c r="E27" s="8">
        <v>54274352.920149103</v>
      </c>
      <c r="F27" s="150">
        <v>3.0405000000000001E-2</v>
      </c>
      <c r="G27" s="14">
        <f>+F27*$E27</f>
        <v>1650211.7005371335</v>
      </c>
      <c r="H27" s="150">
        <v>3.1464000000000006E-2</v>
      </c>
      <c r="I27" s="14">
        <f>+H27*$E27</f>
        <v>1707688.2402795716</v>
      </c>
      <c r="N27" s="4" t="s">
        <v>210</v>
      </c>
      <c r="O27" s="4" t="s">
        <v>211</v>
      </c>
      <c r="P27" s="4" t="s">
        <v>212</v>
      </c>
      <c r="Q27" s="4" t="s">
        <v>213</v>
      </c>
    </row>
    <row r="28" spans="3:17">
      <c r="C28" s="12">
        <f t="shared" si="0"/>
        <v>-12</v>
      </c>
      <c r="D28" s="22" t="s">
        <v>207</v>
      </c>
      <c r="E28" s="8">
        <v>100725647.0798509</v>
      </c>
      <c r="F28" s="50">
        <v>3.2843999999999998E-2</v>
      </c>
      <c r="G28" s="8">
        <f>+F28*$E28</f>
        <v>3308233.1526906225</v>
      </c>
      <c r="H28" s="50">
        <v>3.1073E-2</v>
      </c>
      <c r="I28" s="8">
        <f>+H28*$E28</f>
        <v>3129848.031712207</v>
      </c>
      <c r="L28" s="156" t="s">
        <v>214</v>
      </c>
      <c r="M28" s="3" t="s">
        <v>215</v>
      </c>
      <c r="N28" s="14">
        <v>1679780.0601782168</v>
      </c>
      <c r="O28" s="14"/>
      <c r="Q28" s="68">
        <f>N28/(N28+N29)</f>
        <v>0.38666516486185049</v>
      </c>
    </row>
    <row r="29" spans="3:17" ht="14.25">
      <c r="C29" s="12">
        <f t="shared" si="0"/>
        <v>-13</v>
      </c>
      <c r="D29" s="3" t="s">
        <v>41</v>
      </c>
      <c r="E29" s="8"/>
      <c r="G29" s="28">
        <v>469284.21307668177</v>
      </c>
      <c r="I29" s="28"/>
      <c r="L29" s="157"/>
      <c r="M29" s="3" t="s">
        <v>216</v>
      </c>
      <c r="N29" s="8">
        <v>2664495.5892156884</v>
      </c>
      <c r="O29" s="14"/>
      <c r="Q29" s="68">
        <f>N29/(N28+N29)</f>
        <v>0.61333483513814957</v>
      </c>
    </row>
    <row r="30" spans="3:17">
      <c r="C30" s="12">
        <f t="shared" si="0"/>
        <v>-14</v>
      </c>
      <c r="D30" s="3" t="s">
        <v>43</v>
      </c>
      <c r="E30" s="8"/>
      <c r="G30" s="14">
        <f>SUM(G18:G29)</f>
        <v>10773918.094858823</v>
      </c>
      <c r="I30" s="14">
        <f>SUM(I18:I29)</f>
        <v>11197022.780599531</v>
      </c>
      <c r="L30" s="157"/>
      <c r="M30" s="3" t="s">
        <v>217</v>
      </c>
      <c r="N30" s="8">
        <v>1700760.4616792328</v>
      </c>
      <c r="O30" s="8">
        <v>54274352.920149103</v>
      </c>
      <c r="P30" s="23">
        <f>N30/O30</f>
        <v>3.1336356311450993E-2</v>
      </c>
      <c r="Q30" s="68">
        <f>N30/(N30+N31)</f>
        <v>0.35299447665129563</v>
      </c>
    </row>
    <row r="31" spans="3:17">
      <c r="L31" s="158"/>
      <c r="M31" s="3" t="s">
        <v>218</v>
      </c>
      <c r="N31" s="8">
        <v>3117333.2314958111</v>
      </c>
      <c r="O31" s="8">
        <v>100725647.0798509</v>
      </c>
      <c r="P31" s="23">
        <f>N31/O31</f>
        <v>3.0948753588294402E-2</v>
      </c>
      <c r="Q31" s="68">
        <f>N31/(N30+N31)</f>
        <v>0.64700552334870431</v>
      </c>
    </row>
    <row r="32" spans="3:17">
      <c r="C32" s="43" t="s">
        <v>45</v>
      </c>
      <c r="D32" s="44" t="s">
        <v>46</v>
      </c>
      <c r="E32" s="44" t="s">
        <v>46</v>
      </c>
      <c r="F32" s="44" t="s">
        <v>46</v>
      </c>
      <c r="G32" s="44" t="s">
        <v>46</v>
      </c>
      <c r="H32" s="44" t="s">
        <v>46</v>
      </c>
      <c r="I32" s="45" t="s">
        <v>47</v>
      </c>
      <c r="O32" s="14"/>
    </row>
    <row r="33" spans="9:18">
      <c r="L33" s="159" t="s">
        <v>219</v>
      </c>
      <c r="M33" s="3" t="s">
        <v>220</v>
      </c>
      <c r="N33" s="14">
        <v>831291.05378725519</v>
      </c>
      <c r="O33" s="14"/>
    </row>
    <row r="34" spans="9:18">
      <c r="O34" s="14"/>
    </row>
    <row r="35" spans="9:18">
      <c r="I35" s="14"/>
      <c r="L35" s="156" t="s">
        <v>221</v>
      </c>
      <c r="M35" s="3" t="s">
        <v>220</v>
      </c>
      <c r="N35" s="14">
        <v>404705.80055874103</v>
      </c>
      <c r="O35" s="14"/>
    </row>
    <row r="36" spans="9:18">
      <c r="L36" s="158"/>
      <c r="M36" s="3" t="s">
        <v>222</v>
      </c>
      <c r="N36" s="8">
        <v>8927.6493420173756</v>
      </c>
      <c r="O36" s="14"/>
    </row>
    <row r="37" spans="9:18">
      <c r="O37" s="14"/>
    </row>
    <row r="38" spans="9:18">
      <c r="L38" s="156" t="s">
        <v>222</v>
      </c>
      <c r="M38" s="3" t="s">
        <v>222</v>
      </c>
      <c r="N38" s="14">
        <v>790.60236896923038</v>
      </c>
      <c r="O38" s="14"/>
    </row>
    <row r="39" spans="9:18">
      <c r="L39" s="157"/>
      <c r="M39" s="3" t="s">
        <v>220</v>
      </c>
      <c r="N39" s="8">
        <v>0</v>
      </c>
      <c r="O39" s="160" t="s">
        <v>223</v>
      </c>
      <c r="P39" s="4" t="s">
        <v>212</v>
      </c>
      <c r="Q39" s="4" t="s">
        <v>224</v>
      </c>
      <c r="R39" s="4" t="s">
        <v>225</v>
      </c>
    </row>
    <row r="40" spans="9:18">
      <c r="L40" s="157"/>
      <c r="M40" s="3" t="s">
        <v>208</v>
      </c>
      <c r="N40" s="8">
        <v>19335.073033908444</v>
      </c>
      <c r="O40" s="8">
        <f>SUM(O30:O31)</f>
        <v>155000000</v>
      </c>
      <c r="P40" s="23">
        <f>N40/O40</f>
        <v>1.2474240667037707E-4</v>
      </c>
      <c r="Q40" s="14">
        <f>N40*Q30</f>
        <v>6825.1739866190901</v>
      </c>
      <c r="R40" s="14">
        <f>N40*Q31</f>
        <v>12509.899047289353</v>
      </c>
    </row>
    <row r="41" spans="9:18">
      <c r="L41" s="158"/>
      <c r="M41" s="3" t="s">
        <v>226</v>
      </c>
      <c r="N41" s="8">
        <v>-191108.0072261332</v>
      </c>
      <c r="O41" s="14"/>
    </row>
    <row r="42" spans="9:18">
      <c r="O42" s="14"/>
    </row>
    <row r="43" spans="9:18" ht="12.75" thickBot="1">
      <c r="L43" s="161" t="s">
        <v>227</v>
      </c>
      <c r="N43" s="162">
        <f>SUM(N28:N41)</f>
        <v>10236311.514433706</v>
      </c>
      <c r="O43" s="14"/>
    </row>
    <row r="44" spans="9:18" ht="12.75" thickTop="1">
      <c r="L44" s="3" t="s">
        <v>228</v>
      </c>
      <c r="N44" s="14">
        <f>N28+N29+N33+N35+N39+N41+N38+N36</f>
        <v>5398882.7482247557</v>
      </c>
    </row>
    <row r="45" spans="9:18">
      <c r="O45" s="14"/>
    </row>
    <row r="46" spans="9:18">
      <c r="L46" s="41" t="s">
        <v>55</v>
      </c>
      <c r="M46" s="6"/>
      <c r="N46" s="6"/>
      <c r="O46" s="49">
        <v>3.0000000000000001E-6</v>
      </c>
    </row>
  </sheetData>
  <mergeCells count="4">
    <mergeCell ref="L26:Q26"/>
    <mergeCell ref="L28:L31"/>
    <mergeCell ref="L35:L36"/>
    <mergeCell ref="L38:L41"/>
  </mergeCells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72886-E126-42C8-B8FF-5F8473AA7569}">
  <sheetPr>
    <tabColor theme="4"/>
    <pageSetUpPr fitToPage="1"/>
  </sheetPr>
  <dimension ref="C3:O49"/>
  <sheetViews>
    <sheetView showGridLines="0" view="pageBreakPreview" topLeftCell="A7" zoomScaleNormal="10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" width="9.140625" style="3"/>
    <col min="17" max="17" width="16.5703125" style="3" bestFit="1" customWidth="1"/>
    <col min="18" max="16384" width="9.140625" style="3"/>
  </cols>
  <sheetData>
    <row r="3" spans="3:15">
      <c r="C3" s="1" t="s">
        <v>244</v>
      </c>
      <c r="D3" s="2"/>
      <c r="E3" s="2"/>
      <c r="F3" s="2"/>
      <c r="G3" s="2"/>
      <c r="H3" s="2"/>
      <c r="I3" s="2"/>
    </row>
    <row r="4" spans="3:15">
      <c r="C4" s="1" t="s">
        <v>248</v>
      </c>
      <c r="D4" s="2"/>
      <c r="E4" s="2"/>
      <c r="F4" s="2"/>
      <c r="G4" s="2"/>
      <c r="H4" s="2"/>
      <c r="I4" s="2"/>
    </row>
    <row r="5" spans="3:15">
      <c r="C5" s="1" t="s">
        <v>245</v>
      </c>
      <c r="D5" s="2"/>
      <c r="E5" s="2"/>
      <c r="F5" s="2"/>
      <c r="G5" s="2"/>
      <c r="H5" s="2"/>
      <c r="I5" s="2"/>
    </row>
    <row r="6" spans="3:15">
      <c r="C6" s="1" t="s">
        <v>246</v>
      </c>
      <c r="D6" s="2"/>
      <c r="E6" s="2"/>
      <c r="F6" s="2"/>
      <c r="G6" s="2"/>
      <c r="H6" s="2"/>
      <c r="I6" s="2"/>
    </row>
    <row r="7" spans="3:15">
      <c r="C7" s="1" t="s">
        <v>247</v>
      </c>
      <c r="D7" s="2"/>
      <c r="E7" s="2"/>
      <c r="F7" s="2"/>
      <c r="G7" s="2"/>
      <c r="H7" s="2"/>
      <c r="I7" s="2"/>
    </row>
    <row r="8" spans="3:15">
      <c r="C8" s="1"/>
      <c r="D8" s="2"/>
      <c r="E8" s="2"/>
      <c r="F8" s="2"/>
      <c r="G8" s="2"/>
      <c r="H8" s="2"/>
      <c r="I8" s="2"/>
    </row>
    <row r="9" spans="3:15">
      <c r="C9" s="1" t="s">
        <v>229</v>
      </c>
      <c r="D9" s="2"/>
      <c r="E9" s="2"/>
      <c r="F9" s="2"/>
      <c r="G9" s="2"/>
      <c r="H9" s="2"/>
      <c r="I9" s="2"/>
    </row>
    <row r="10" spans="3:15">
      <c r="C10" s="2" t="s">
        <v>230</v>
      </c>
      <c r="D10" s="2"/>
      <c r="E10" s="2"/>
      <c r="F10" s="2"/>
      <c r="G10" s="2"/>
      <c r="H10" s="2"/>
      <c r="I10" s="2"/>
    </row>
    <row r="11" spans="3:15" ht="5.0999999999999996" customHeight="1"/>
    <row r="12" spans="3:15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15" ht="5.0999999999999996" customHeight="1"/>
    <row r="14" spans="3:15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  <c r="L14" s="15" t="str">
        <f>+_xlfn.CONCAT(C9,", ",C10)</f>
        <v>Brisbie, LLC., Schedule 33</v>
      </c>
      <c r="M14" s="16"/>
      <c r="N14" s="16"/>
      <c r="O14" s="17"/>
    </row>
    <row r="15" spans="3:15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  <c r="L15" s="19" t="s">
        <v>23</v>
      </c>
      <c r="O15" s="20">
        <f>I44</f>
        <v>3914680</v>
      </c>
    </row>
    <row r="16" spans="3:15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  <c r="L16" s="19" t="s">
        <v>25</v>
      </c>
      <c r="O16" s="163">
        <f>(G44)*(1+O20)</f>
        <v>3917080.0000000005</v>
      </c>
    </row>
    <row r="17" spans="3:15" ht="14.25">
      <c r="C17" s="12">
        <v>-1</v>
      </c>
      <c r="D17" s="71" t="s">
        <v>231</v>
      </c>
      <c r="E17" s="11"/>
      <c r="F17" s="11"/>
      <c r="G17" s="11"/>
      <c r="H17" s="11"/>
      <c r="I17" s="11"/>
      <c r="L17" s="24" t="s">
        <v>27</v>
      </c>
      <c r="M17" s="25"/>
      <c r="N17" s="25"/>
      <c r="O17" s="26">
        <f>+O15-O16</f>
        <v>-2400.0000000004657</v>
      </c>
    </row>
    <row r="18" spans="3:15">
      <c r="C18" s="12">
        <f t="shared" ref="C18:C44" si="0">+C17-1</f>
        <v>-2</v>
      </c>
      <c r="D18" s="61" t="s">
        <v>21</v>
      </c>
      <c r="E18" s="8">
        <v>12</v>
      </c>
      <c r="F18" s="13">
        <v>415</v>
      </c>
      <c r="G18" s="14">
        <f t="shared" ref="G18" si="1">+F18*$E18</f>
        <v>4980</v>
      </c>
      <c r="H18" s="13">
        <v>490</v>
      </c>
      <c r="I18" s="14">
        <f t="shared" ref="I18" si="2">+H18*$E18</f>
        <v>5880</v>
      </c>
    </row>
    <row r="19" spans="3:15">
      <c r="C19" s="12">
        <f t="shared" si="0"/>
        <v>-3</v>
      </c>
      <c r="D19" s="21" t="s">
        <v>90</v>
      </c>
      <c r="L19" s="30" t="s">
        <v>30</v>
      </c>
      <c r="M19" s="16"/>
      <c r="N19" s="16"/>
      <c r="O19" s="31">
        <f>+IFERROR((O15/((G44))-1),0)</f>
        <v>0.27589645979049471</v>
      </c>
    </row>
    <row r="20" spans="3:15">
      <c r="C20" s="12">
        <f t="shared" si="0"/>
        <v>-4</v>
      </c>
      <c r="D20" s="22" t="s">
        <v>91</v>
      </c>
      <c r="E20" s="8">
        <v>240000</v>
      </c>
      <c r="F20" s="13">
        <v>1.87</v>
      </c>
      <c r="G20" s="14">
        <f>+F20*$E20</f>
        <v>448800</v>
      </c>
      <c r="H20" s="13">
        <v>1.72</v>
      </c>
      <c r="I20" s="14">
        <f>+H20*$E20</f>
        <v>412800</v>
      </c>
      <c r="L20" s="39" t="s">
        <v>25</v>
      </c>
      <c r="M20" s="25"/>
      <c r="N20" s="25"/>
      <c r="O20" s="51">
        <v>0.27667868247625627</v>
      </c>
    </row>
    <row r="21" spans="3:15">
      <c r="C21" s="12">
        <f t="shared" si="0"/>
        <v>-5</v>
      </c>
      <c r="D21" s="21" t="s">
        <v>232</v>
      </c>
    </row>
    <row r="22" spans="3:15">
      <c r="C22" s="12">
        <f t="shared" si="0"/>
        <v>-6</v>
      </c>
      <c r="D22" s="22" t="s">
        <v>93</v>
      </c>
      <c r="E22" s="8">
        <v>80000</v>
      </c>
      <c r="F22" s="13">
        <v>10.199999999999999</v>
      </c>
      <c r="G22" s="14">
        <f>+F22*$E22</f>
        <v>816000</v>
      </c>
      <c r="H22" s="13">
        <v>14.18</v>
      </c>
      <c r="I22" s="14">
        <f>+H22*$E22</f>
        <v>1134400</v>
      </c>
      <c r="L22" s="41" t="s">
        <v>194</v>
      </c>
      <c r="M22" s="6"/>
      <c r="N22" s="6"/>
      <c r="O22" s="80">
        <v>3.12</v>
      </c>
    </row>
    <row r="23" spans="3:15" ht="14.25">
      <c r="C23" s="12">
        <f t="shared" si="0"/>
        <v>-7</v>
      </c>
      <c r="D23" s="22" t="s">
        <v>94</v>
      </c>
      <c r="E23" s="28">
        <v>160000</v>
      </c>
      <c r="F23" s="18">
        <v>8.7799999999999994</v>
      </c>
      <c r="G23" s="28">
        <f>+F23*$E23</f>
        <v>1404800</v>
      </c>
      <c r="H23" s="18">
        <v>12.42</v>
      </c>
      <c r="I23" s="28">
        <f>+H23*$E23</f>
        <v>1987200</v>
      </c>
    </row>
    <row r="24" spans="3:15">
      <c r="C24" s="12">
        <f t="shared" si="0"/>
        <v>-8</v>
      </c>
      <c r="D24" s="61" t="s">
        <v>95</v>
      </c>
      <c r="E24" s="8">
        <f>+SUM(E22:E23)</f>
        <v>240000</v>
      </c>
      <c r="G24" s="14">
        <f>+SUM(G22:G23)</f>
        <v>2220800</v>
      </c>
      <c r="I24" s="14">
        <f>+SUM(I22:I23)</f>
        <v>3121600</v>
      </c>
      <c r="L24" s="30" t="s">
        <v>233</v>
      </c>
      <c r="M24" s="16"/>
      <c r="N24" s="16"/>
      <c r="O24" s="164">
        <f>O16</f>
        <v>3917080.0000000005</v>
      </c>
    </row>
    <row r="25" spans="3:15">
      <c r="C25" s="12">
        <f t="shared" si="0"/>
        <v>-9</v>
      </c>
      <c r="D25" s="61" t="s">
        <v>119</v>
      </c>
      <c r="E25" s="8">
        <v>0</v>
      </c>
      <c r="F25" s="13">
        <v>1.59</v>
      </c>
      <c r="G25" s="14">
        <f>+F25*$E25</f>
        <v>0</v>
      </c>
      <c r="H25" s="13">
        <v>2.0699999999999998</v>
      </c>
      <c r="I25" s="14">
        <f>+H25*$E25</f>
        <v>0</v>
      </c>
      <c r="L25" s="19" t="s">
        <v>234</v>
      </c>
      <c r="O25" s="20">
        <f>-I37</f>
        <v>-3540280</v>
      </c>
    </row>
    <row r="26" spans="3:15">
      <c r="C26" s="12">
        <f t="shared" si="0"/>
        <v>-10</v>
      </c>
      <c r="D26" s="33" t="s">
        <v>24</v>
      </c>
      <c r="L26" s="19" t="s">
        <v>235</v>
      </c>
      <c r="O26" s="163">
        <f>SUM(O24:O25)</f>
        <v>376800.00000000047</v>
      </c>
    </row>
    <row r="27" spans="3:15">
      <c r="C27" s="12">
        <f t="shared" si="0"/>
        <v>-11</v>
      </c>
      <c r="D27" s="22" t="s">
        <v>66</v>
      </c>
      <c r="E27" s="8">
        <v>0</v>
      </c>
      <c r="F27" s="23">
        <v>5.2142000000000001E-2</v>
      </c>
      <c r="G27" s="14">
        <f>+F27*$E27</f>
        <v>0</v>
      </c>
      <c r="H27" s="23">
        <f>I19T!H27</f>
        <v>6.7061999999999997E-2</v>
      </c>
      <c r="I27" s="14">
        <f>+H27*$E27</f>
        <v>0</v>
      </c>
      <c r="L27" s="19" t="s">
        <v>236</v>
      </c>
      <c r="O27" s="20">
        <f>-I39</f>
        <v>-374400</v>
      </c>
    </row>
    <row r="28" spans="3:15">
      <c r="C28" s="12">
        <f t="shared" si="0"/>
        <v>-12</v>
      </c>
      <c r="D28" s="22" t="s">
        <v>67</v>
      </c>
      <c r="E28" s="8">
        <v>0</v>
      </c>
      <c r="F28" s="27">
        <v>5.2142000000000001E-2</v>
      </c>
      <c r="G28" s="8">
        <f>+F28*$E28</f>
        <v>0</v>
      </c>
      <c r="H28" s="27">
        <f>I19T!H28</f>
        <v>5.5664999999999999E-2</v>
      </c>
      <c r="I28" s="8">
        <f>+H28*$E28</f>
        <v>0</v>
      </c>
      <c r="L28" s="39" t="s">
        <v>237</v>
      </c>
      <c r="M28" s="25"/>
      <c r="N28" s="25"/>
      <c r="O28" s="165">
        <f>SUM(O26:O27)</f>
        <v>2400.0000000004657</v>
      </c>
    </row>
    <row r="29" spans="3:15" ht="14.25">
      <c r="C29" s="12">
        <f t="shared" si="0"/>
        <v>-13</v>
      </c>
      <c r="D29" s="22" t="s">
        <v>68</v>
      </c>
      <c r="E29" s="28">
        <v>0</v>
      </c>
      <c r="F29" s="27">
        <v>4.6450999999999999E-2</v>
      </c>
      <c r="G29" s="28">
        <f>+F29*$E29</f>
        <v>0</v>
      </c>
      <c r="H29" s="27">
        <f>I19T!H29</f>
        <v>4.3865000000000001E-2</v>
      </c>
      <c r="I29" s="28">
        <f>+H29*$E29</f>
        <v>0</v>
      </c>
    </row>
    <row r="30" spans="3:15">
      <c r="C30" s="12">
        <f t="shared" si="0"/>
        <v>-14</v>
      </c>
      <c r="D30" s="61" t="s">
        <v>31</v>
      </c>
      <c r="E30" s="8">
        <f>+SUM(E27:E29)</f>
        <v>0</v>
      </c>
      <c r="G30" s="14">
        <f>+SUM(G27:G29)</f>
        <v>0</v>
      </c>
      <c r="I30" s="14">
        <f>+SUM(I27:I29)</f>
        <v>0</v>
      </c>
      <c r="L30" s="41" t="s">
        <v>161</v>
      </c>
      <c r="M30" s="6"/>
      <c r="N30" s="6"/>
      <c r="O30" s="146">
        <v>0</v>
      </c>
    </row>
    <row r="31" spans="3:15">
      <c r="C31" s="12">
        <f t="shared" si="0"/>
        <v>-15</v>
      </c>
      <c r="D31" s="33" t="s">
        <v>32</v>
      </c>
    </row>
    <row r="32" spans="3:15">
      <c r="C32" s="12">
        <f t="shared" si="0"/>
        <v>-16</v>
      </c>
      <c r="D32" s="22" t="s">
        <v>66</v>
      </c>
      <c r="E32" s="8">
        <v>0</v>
      </c>
      <c r="F32" s="23">
        <v>4.6927000000000003E-2</v>
      </c>
      <c r="G32" s="14">
        <f>+F32*$E32</f>
        <v>0</v>
      </c>
      <c r="H32" s="23">
        <f>I19T!H32</f>
        <v>5.3955000000000003E-2</v>
      </c>
      <c r="I32" s="14">
        <f>+H32*$E32</f>
        <v>0</v>
      </c>
    </row>
    <row r="33" spans="3:9">
      <c r="C33" s="12">
        <f t="shared" si="0"/>
        <v>-17</v>
      </c>
      <c r="D33" s="22" t="s">
        <v>67</v>
      </c>
      <c r="E33" s="8">
        <v>0</v>
      </c>
      <c r="F33" s="27">
        <v>4.4503999999999995E-2</v>
      </c>
      <c r="G33" s="8">
        <f>+F33*$E33</f>
        <v>0</v>
      </c>
      <c r="H33" s="27">
        <f>I19T!H33</f>
        <v>4.9098999999999997E-2</v>
      </c>
      <c r="I33" s="8">
        <f>+H33*$E33</f>
        <v>0</v>
      </c>
    </row>
    <row r="34" spans="3:9" ht="14.25">
      <c r="C34" s="12">
        <f t="shared" si="0"/>
        <v>-18</v>
      </c>
      <c r="D34" s="22" t="s">
        <v>68</v>
      </c>
      <c r="E34" s="28">
        <v>0</v>
      </c>
      <c r="F34" s="27">
        <v>4.2560999999999995E-2</v>
      </c>
      <c r="G34" s="28">
        <f>+F34*$E34</f>
        <v>0</v>
      </c>
      <c r="H34" s="27">
        <f>I19T!H34</f>
        <v>4.5641000000000001E-2</v>
      </c>
      <c r="I34" s="28">
        <f>+H34*$E34</f>
        <v>0</v>
      </c>
    </row>
    <row r="35" spans="3:9" ht="14.25">
      <c r="C35" s="12">
        <f t="shared" si="0"/>
        <v>-19</v>
      </c>
      <c r="D35" s="61" t="s">
        <v>37</v>
      </c>
      <c r="E35" s="28">
        <f>+SUM(E32:E34)</f>
        <v>0</v>
      </c>
      <c r="F35" s="150"/>
      <c r="G35" s="14">
        <f>+SUM(G32:G34)</f>
        <v>0</v>
      </c>
      <c r="H35" s="150"/>
      <c r="I35" s="14">
        <f>+SUM(I32:I34)</f>
        <v>0</v>
      </c>
    </row>
    <row r="36" spans="3:9" ht="14.25">
      <c r="C36" s="12">
        <f t="shared" si="0"/>
        <v>-20</v>
      </c>
      <c r="D36" s="61" t="s">
        <v>39</v>
      </c>
      <c r="E36" s="8">
        <f>+SUM(E35,E30)</f>
        <v>0</v>
      </c>
      <c r="G36" s="28">
        <f>+SUM(G35,G30)</f>
        <v>0</v>
      </c>
      <c r="I36" s="28">
        <f>+SUM(I35,I30)</f>
        <v>0</v>
      </c>
    </row>
    <row r="37" spans="3:9">
      <c r="C37" s="12">
        <f t="shared" si="0"/>
        <v>-21</v>
      </c>
      <c r="D37" s="3" t="s">
        <v>238</v>
      </c>
      <c r="E37" s="8"/>
      <c r="F37" s="150"/>
      <c r="G37" s="14">
        <f>+SUM(G36,G25,G24,G20,G18)</f>
        <v>2674580</v>
      </c>
      <c r="H37" s="150"/>
      <c r="I37" s="14">
        <f>+SUM(I36,I25,I24,I20,I18)</f>
        <v>3540280</v>
      </c>
    </row>
    <row r="38" spans="3:9">
      <c r="C38" s="12">
        <f>+C37-1</f>
        <v>-22</v>
      </c>
      <c r="D38" s="71" t="s">
        <v>239</v>
      </c>
    </row>
    <row r="39" spans="3:9">
      <c r="C39" s="12">
        <f t="shared" si="0"/>
        <v>-23</v>
      </c>
      <c r="D39" s="22" t="s">
        <v>190</v>
      </c>
      <c r="E39" s="8">
        <v>120000</v>
      </c>
      <c r="F39" s="13">
        <v>3.28</v>
      </c>
      <c r="G39" s="14">
        <f>+F39*$E39</f>
        <v>393600</v>
      </c>
      <c r="H39" s="13">
        <f>O22</f>
        <v>3.12</v>
      </c>
      <c r="I39" s="14">
        <f>+H39*$E39</f>
        <v>374400</v>
      </c>
    </row>
    <row r="40" spans="3:9">
      <c r="C40" s="12">
        <f t="shared" si="0"/>
        <v>-24</v>
      </c>
      <c r="D40" s="22" t="s">
        <v>191</v>
      </c>
      <c r="E40" s="8">
        <v>0</v>
      </c>
      <c r="F40" s="3">
        <v>22.29</v>
      </c>
      <c r="G40" s="8">
        <f>+F40*$E40</f>
        <v>0</v>
      </c>
      <c r="H40" s="3">
        <f>F40</f>
        <v>22.29</v>
      </c>
      <c r="I40" s="8">
        <f>+H40*$E40</f>
        <v>0</v>
      </c>
    </row>
    <row r="41" spans="3:9" ht="14.25">
      <c r="C41" s="12">
        <f t="shared" si="0"/>
        <v>-25</v>
      </c>
      <c r="D41" s="22" t="s">
        <v>192</v>
      </c>
      <c r="E41" s="8">
        <v>0</v>
      </c>
      <c r="F41" s="3">
        <v>1.2929999999999999</v>
      </c>
      <c r="G41" s="28">
        <f>+F41*$E41</f>
        <v>0</v>
      </c>
      <c r="H41" s="3">
        <v>1.248</v>
      </c>
      <c r="I41" s="28">
        <f>+H41*$E41</f>
        <v>0</v>
      </c>
    </row>
    <row r="42" spans="3:9">
      <c r="C42" s="12">
        <f t="shared" si="0"/>
        <v>-26</v>
      </c>
      <c r="D42" s="3" t="s">
        <v>240</v>
      </c>
      <c r="E42" s="77"/>
      <c r="G42" s="14">
        <f>+SUM(G39:G41)</f>
        <v>393600</v>
      </c>
      <c r="H42" s="13"/>
      <c r="I42" s="14">
        <f>+SUM(I39:I41)</f>
        <v>374400</v>
      </c>
    </row>
    <row r="43" spans="3:9" ht="14.25">
      <c r="C43" s="12">
        <f t="shared" si="0"/>
        <v>-27</v>
      </c>
      <c r="D43" s="3" t="s">
        <v>41</v>
      </c>
      <c r="E43" s="8"/>
      <c r="G43" s="28">
        <v>0</v>
      </c>
      <c r="I43" s="28">
        <v>0</v>
      </c>
    </row>
    <row r="44" spans="3:9">
      <c r="C44" s="12">
        <f t="shared" si="0"/>
        <v>-28</v>
      </c>
      <c r="D44" s="3" t="s">
        <v>43</v>
      </c>
      <c r="E44" s="8"/>
      <c r="G44" s="14">
        <f>G37+G42+G43</f>
        <v>3068180</v>
      </c>
      <c r="I44" s="14">
        <f>I37+I42+I43</f>
        <v>3914680</v>
      </c>
    </row>
    <row r="46" spans="3:9">
      <c r="C46" s="43" t="s">
        <v>45</v>
      </c>
      <c r="D46" s="44" t="s">
        <v>46</v>
      </c>
      <c r="E46" s="44" t="s">
        <v>46</v>
      </c>
      <c r="F46" s="44" t="s">
        <v>46</v>
      </c>
      <c r="G46" s="44" t="s">
        <v>46</v>
      </c>
      <c r="H46" s="44" t="s">
        <v>46</v>
      </c>
      <c r="I46" s="45" t="s">
        <v>47</v>
      </c>
    </row>
    <row r="49" spans="9:9">
      <c r="I49" s="14"/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E0835-2BCF-47C7-9387-6EE692DD3378}">
  <sheetPr>
    <tabColor theme="4"/>
    <pageSetUpPr fitToPage="1"/>
  </sheetPr>
  <dimension ref="C3:U50"/>
  <sheetViews>
    <sheetView showGridLines="0" view="pageBreakPreview" topLeftCell="A10" zoomScaleNormal="90" zoomScaleSheetLayoutView="100" workbookViewId="0">
      <selection sqref="A1:XFD1048576"/>
    </sheetView>
  </sheetViews>
  <sheetFormatPr defaultRowHeight="12"/>
  <cols>
    <col min="1" max="2" width="1.7109375" style="3" customWidth="1"/>
    <col min="3" max="3" width="7.7109375" style="3" customWidth="1"/>
    <col min="4" max="4" width="36.7109375" style="3" customWidth="1"/>
    <col min="5" max="9" width="13.7109375" style="3" customWidth="1"/>
    <col min="10" max="11" width="1.7109375" style="3" customWidth="1"/>
    <col min="12" max="15" width="13.7109375" style="3" customWidth="1"/>
    <col min="16" max="16" width="12" style="3" bestFit="1" customWidth="1"/>
    <col min="17" max="17" width="31.28515625" style="3" bestFit="1" customWidth="1"/>
    <col min="18" max="18" width="16.5703125" style="3" bestFit="1" customWidth="1"/>
    <col min="19" max="19" width="12" style="3" bestFit="1" customWidth="1"/>
    <col min="20" max="20" width="9.140625" style="3"/>
    <col min="21" max="21" width="13.42578125" style="3" customWidth="1"/>
    <col min="22" max="16384" width="9.140625" style="3"/>
  </cols>
  <sheetData>
    <row r="3" spans="3:17">
      <c r="C3" s="1" t="s">
        <v>244</v>
      </c>
      <c r="D3" s="2"/>
      <c r="E3" s="2"/>
      <c r="F3" s="2"/>
      <c r="G3" s="2"/>
      <c r="H3" s="2"/>
      <c r="I3" s="2"/>
    </row>
    <row r="4" spans="3:17">
      <c r="C4" s="1" t="s">
        <v>248</v>
      </c>
      <c r="D4" s="2"/>
      <c r="E4" s="2"/>
      <c r="F4" s="2"/>
      <c r="G4" s="2"/>
      <c r="H4" s="2"/>
      <c r="I4" s="2"/>
    </row>
    <row r="5" spans="3:17">
      <c r="C5" s="1" t="s">
        <v>245</v>
      </c>
      <c r="D5" s="2"/>
      <c r="E5" s="2"/>
      <c r="F5" s="2"/>
      <c r="G5" s="2"/>
      <c r="H5" s="2"/>
      <c r="I5" s="2"/>
    </row>
    <row r="6" spans="3:17">
      <c r="C6" s="1" t="s">
        <v>246</v>
      </c>
      <c r="D6" s="2"/>
      <c r="E6" s="2"/>
      <c r="F6" s="2"/>
      <c r="G6" s="2"/>
      <c r="H6" s="2"/>
      <c r="I6" s="2"/>
    </row>
    <row r="7" spans="3:17">
      <c r="C7" s="1" t="s">
        <v>247</v>
      </c>
      <c r="D7" s="2"/>
      <c r="E7" s="2"/>
      <c r="F7" s="2"/>
      <c r="G7" s="2"/>
      <c r="H7" s="2"/>
      <c r="I7" s="2"/>
    </row>
    <row r="8" spans="3:17">
      <c r="C8" s="1"/>
      <c r="D8" s="2"/>
      <c r="E8" s="2"/>
      <c r="F8" s="2"/>
      <c r="G8" s="2"/>
      <c r="H8" s="2"/>
      <c r="I8" s="2"/>
    </row>
    <row r="9" spans="3:17">
      <c r="C9" s="1" t="s">
        <v>241</v>
      </c>
      <c r="D9" s="2"/>
      <c r="E9" s="2"/>
      <c r="F9" s="2"/>
      <c r="G9" s="2"/>
      <c r="H9" s="2"/>
      <c r="I9" s="2"/>
    </row>
    <row r="10" spans="3:17">
      <c r="C10" s="2" t="s">
        <v>242</v>
      </c>
      <c r="D10" s="2"/>
      <c r="E10" s="2"/>
      <c r="F10" s="2"/>
      <c r="G10" s="2"/>
      <c r="H10" s="2"/>
      <c r="I10" s="2"/>
    </row>
    <row r="11" spans="3:17" ht="5.0999999999999996" customHeight="1"/>
    <row r="12" spans="3:17">
      <c r="C12" s="6" t="s">
        <v>2</v>
      </c>
      <c r="D12" s="7" t="s">
        <v>3</v>
      </c>
      <c r="E12" s="7" t="s">
        <v>4</v>
      </c>
      <c r="F12" s="7" t="s">
        <v>5</v>
      </c>
      <c r="G12" s="7" t="s">
        <v>6</v>
      </c>
      <c r="H12" s="7" t="s">
        <v>7</v>
      </c>
      <c r="I12" s="7" t="s">
        <v>8</v>
      </c>
    </row>
    <row r="13" spans="3:17" ht="5.0999999999999996" customHeight="1"/>
    <row r="14" spans="3:17">
      <c r="C14" s="9"/>
      <c r="D14" s="9"/>
      <c r="E14" s="10" t="s">
        <v>9</v>
      </c>
      <c r="F14" s="10" t="s">
        <v>10</v>
      </c>
      <c r="G14" s="10" t="s">
        <v>9</v>
      </c>
      <c r="H14" s="10" t="s">
        <v>11</v>
      </c>
      <c r="I14" s="10" t="s">
        <v>11</v>
      </c>
      <c r="L14" s="15" t="str">
        <f>+_xlfn.CONCAT(C9,", ",C10)</f>
        <v>Lamb Weston, Inc., Schedule 34</v>
      </c>
      <c r="M14" s="16"/>
      <c r="N14" s="16"/>
      <c r="O14" s="17"/>
      <c r="Q14" s="14"/>
    </row>
    <row r="15" spans="3:17">
      <c r="C15" s="10" t="s">
        <v>12</v>
      </c>
      <c r="D15" s="9"/>
      <c r="E15" s="10" t="s">
        <v>13</v>
      </c>
      <c r="F15" s="10" t="s">
        <v>14</v>
      </c>
      <c r="G15" s="10" t="s">
        <v>14</v>
      </c>
      <c r="H15" s="10" t="s">
        <v>15</v>
      </c>
      <c r="I15" s="10" t="s">
        <v>15</v>
      </c>
      <c r="L15" s="19" t="s">
        <v>23</v>
      </c>
      <c r="O15" s="20">
        <f>I44</f>
        <v>10652525.176087748</v>
      </c>
      <c r="P15" s="14"/>
      <c r="Q15" s="14"/>
    </row>
    <row r="16" spans="3:17" ht="14.25">
      <c r="C16" s="11" t="s">
        <v>16</v>
      </c>
      <c r="D16" s="11" t="s">
        <v>17</v>
      </c>
      <c r="E16" s="11" t="s">
        <v>18</v>
      </c>
      <c r="F16" s="11" t="s">
        <v>19</v>
      </c>
      <c r="G16" s="11" t="s">
        <v>20</v>
      </c>
      <c r="H16" s="11" t="s">
        <v>19</v>
      </c>
      <c r="I16" s="11" t="s">
        <v>20</v>
      </c>
      <c r="L16" s="19" t="s">
        <v>25</v>
      </c>
      <c r="O16" s="163">
        <v>10652668.179979123</v>
      </c>
    </row>
    <row r="17" spans="3:20" ht="14.25">
      <c r="C17" s="12">
        <v>-1</v>
      </c>
      <c r="D17" s="71" t="s">
        <v>231</v>
      </c>
      <c r="E17" s="11"/>
      <c r="F17" s="11"/>
      <c r="G17" s="11"/>
      <c r="H17" s="11"/>
      <c r="I17" s="11"/>
      <c r="L17" s="24" t="s">
        <v>27</v>
      </c>
      <c r="M17" s="25"/>
      <c r="N17" s="25"/>
      <c r="O17" s="26">
        <f>+O15-O16</f>
        <v>-143.00389137491584</v>
      </c>
    </row>
    <row r="18" spans="3:20">
      <c r="C18" s="12">
        <f t="shared" ref="C18:C44" si="0">+C17-1</f>
        <v>-2</v>
      </c>
      <c r="D18" s="61" t="s">
        <v>21</v>
      </c>
      <c r="E18" s="8">
        <v>12</v>
      </c>
      <c r="F18" s="13">
        <v>415</v>
      </c>
      <c r="G18" s="14">
        <f t="shared" ref="G18:G34" si="1">+F18*$E18</f>
        <v>4980</v>
      </c>
      <c r="H18" s="13">
        <v>490</v>
      </c>
      <c r="I18" s="14">
        <f t="shared" ref="I18:I34" si="2">+H18*$E18</f>
        <v>5880</v>
      </c>
    </row>
    <row r="19" spans="3:20">
      <c r="C19" s="12">
        <f t="shared" si="0"/>
        <v>-3</v>
      </c>
      <c r="D19" s="21" t="s">
        <v>90</v>
      </c>
      <c r="E19" s="8"/>
      <c r="F19" s="13"/>
      <c r="G19" s="14"/>
      <c r="H19" s="13"/>
      <c r="I19" s="14"/>
      <c r="L19" s="41" t="s">
        <v>161</v>
      </c>
      <c r="M19" s="6"/>
      <c r="N19" s="6"/>
      <c r="O19" s="146">
        <v>0</v>
      </c>
    </row>
    <row r="20" spans="3:20">
      <c r="C20" s="12">
        <f t="shared" si="0"/>
        <v>-4</v>
      </c>
      <c r="D20" s="22" t="s">
        <v>91</v>
      </c>
      <c r="E20" s="8">
        <v>240000</v>
      </c>
      <c r="F20" s="13">
        <v>2.21</v>
      </c>
      <c r="G20" s="14">
        <f t="shared" si="1"/>
        <v>530400</v>
      </c>
      <c r="H20" s="13">
        <v>2.6</v>
      </c>
      <c r="I20" s="14">
        <f t="shared" si="2"/>
        <v>624000</v>
      </c>
    </row>
    <row r="21" spans="3:20">
      <c r="C21" s="12">
        <f t="shared" si="0"/>
        <v>-5</v>
      </c>
      <c r="D21" s="21" t="s">
        <v>232</v>
      </c>
      <c r="E21" s="8"/>
      <c r="F21" s="13"/>
      <c r="G21" s="14"/>
      <c r="H21" s="13"/>
      <c r="I21" s="14"/>
      <c r="L21" s="30" t="s">
        <v>30</v>
      </c>
      <c r="M21" s="16"/>
      <c r="N21" s="16"/>
      <c r="O21" s="31">
        <f>+IFERROR((O15/(G44)-1),0)</f>
        <v>3.9260744712517948E-2</v>
      </c>
    </row>
    <row r="22" spans="3:20">
      <c r="C22" s="12">
        <f t="shared" si="0"/>
        <v>-6</v>
      </c>
      <c r="D22" s="22" t="s">
        <v>93</v>
      </c>
      <c r="E22" s="8">
        <v>80000</v>
      </c>
      <c r="F22" s="13">
        <v>10.039999999999999</v>
      </c>
      <c r="G22" s="14">
        <f t="shared" si="1"/>
        <v>803199.99999999988</v>
      </c>
      <c r="H22" s="13">
        <v>13.09</v>
      </c>
      <c r="I22" s="14">
        <f t="shared" si="2"/>
        <v>1047200</v>
      </c>
      <c r="L22" s="39" t="s">
        <v>25</v>
      </c>
      <c r="M22" s="25"/>
      <c r="N22" s="25"/>
      <c r="O22" s="51">
        <v>3.9274696177376701E-2</v>
      </c>
    </row>
    <row r="23" spans="3:20" ht="14.25">
      <c r="C23" s="12">
        <f t="shared" si="0"/>
        <v>-7</v>
      </c>
      <c r="D23" s="22" t="s">
        <v>94</v>
      </c>
      <c r="E23" s="8">
        <v>160000</v>
      </c>
      <c r="F23" s="18">
        <v>8.64</v>
      </c>
      <c r="G23" s="28">
        <f t="shared" si="1"/>
        <v>1382400</v>
      </c>
      <c r="H23" s="18">
        <v>11.93</v>
      </c>
      <c r="I23" s="28">
        <f t="shared" si="2"/>
        <v>1908800</v>
      </c>
    </row>
    <row r="24" spans="3:20">
      <c r="C24" s="12">
        <f t="shared" si="0"/>
        <v>-8</v>
      </c>
      <c r="D24" s="61" t="s">
        <v>95</v>
      </c>
      <c r="E24" s="8"/>
      <c r="F24" s="13"/>
      <c r="G24" s="14">
        <f>SUM(G22:G23)</f>
        <v>2185600</v>
      </c>
      <c r="H24" s="13"/>
      <c r="I24" s="14">
        <f>SUM(I22:I23)</f>
        <v>2956000</v>
      </c>
      <c r="L24" s="30" t="s">
        <v>233</v>
      </c>
      <c r="M24" s="16"/>
      <c r="N24" s="16"/>
      <c r="O24" s="164">
        <f>O16</f>
        <v>10652668.179979123</v>
      </c>
    </row>
    <row r="25" spans="3:20">
      <c r="C25" s="12">
        <f t="shared" si="0"/>
        <v>-9</v>
      </c>
      <c r="D25" s="61" t="s">
        <v>119</v>
      </c>
      <c r="E25" s="8">
        <v>78960</v>
      </c>
      <c r="F25" s="13">
        <v>1.59</v>
      </c>
      <c r="G25" s="14">
        <f t="shared" si="1"/>
        <v>125546.40000000001</v>
      </c>
      <c r="H25" s="13">
        <v>2.0699999999999998</v>
      </c>
      <c r="I25" s="14">
        <f t="shared" si="2"/>
        <v>163447.19999999998</v>
      </c>
      <c r="L25" s="19" t="s">
        <v>243</v>
      </c>
      <c r="O25" s="20">
        <f>-I37</f>
        <v>-10216765.176087748</v>
      </c>
    </row>
    <row r="26" spans="3:20">
      <c r="C26" s="12">
        <f t="shared" si="0"/>
        <v>-10</v>
      </c>
      <c r="D26" s="33" t="s">
        <v>24</v>
      </c>
      <c r="E26" s="8"/>
      <c r="F26" s="13"/>
      <c r="G26" s="14"/>
      <c r="H26" s="13"/>
      <c r="I26" s="14"/>
      <c r="L26" s="19" t="s">
        <v>235</v>
      </c>
      <c r="O26" s="163">
        <f>SUM(O24:O25)</f>
        <v>435903.00389137492</v>
      </c>
    </row>
    <row r="27" spans="3:20">
      <c r="C27" s="12">
        <f t="shared" si="0"/>
        <v>-11</v>
      </c>
      <c r="D27" s="22" t="s">
        <v>66</v>
      </c>
      <c r="E27" s="8">
        <v>6161916.0946448185</v>
      </c>
      <c r="F27" s="150">
        <v>5.2313999999999999E-2</v>
      </c>
      <c r="G27" s="14">
        <f>+F27*$E27</f>
        <v>322354.47857524903</v>
      </c>
      <c r="H27" s="150">
        <v>6.6358E-2</v>
      </c>
      <c r="I27" s="14">
        <f>+H27*$E27</f>
        <v>408892.42820844089</v>
      </c>
      <c r="L27" s="19" t="s">
        <v>236</v>
      </c>
      <c r="O27" s="20">
        <f>-I39</f>
        <v>-149760</v>
      </c>
      <c r="Q27" s="14"/>
    </row>
    <row r="28" spans="3:20">
      <c r="C28" s="12">
        <f>+C27-1</f>
        <v>-12</v>
      </c>
      <c r="D28" s="22" t="s">
        <v>67</v>
      </c>
      <c r="E28" s="8">
        <v>7907125.1025642883</v>
      </c>
      <c r="F28" s="27">
        <v>5.2313999999999999E-2</v>
      </c>
      <c r="G28" s="8">
        <f>+F28*$E28</f>
        <v>413653.34261554817</v>
      </c>
      <c r="H28" s="27">
        <v>5.5114999999999997E-2</v>
      </c>
      <c r="I28" s="8">
        <f>+H28*$E28</f>
        <v>435801.20002783072</v>
      </c>
      <c r="L28" s="39" t="s">
        <v>237</v>
      </c>
      <c r="M28" s="25"/>
      <c r="N28" s="25"/>
      <c r="O28" s="165">
        <f>SUM(O26:O27)</f>
        <v>286143.00389137492</v>
      </c>
    </row>
    <row r="29" spans="3:20" ht="14.25">
      <c r="C29" s="12">
        <f>+C28-1</f>
        <v>-13</v>
      </c>
      <c r="D29" s="22" t="s">
        <v>68</v>
      </c>
      <c r="E29" s="28">
        <v>29384247.894951694</v>
      </c>
      <c r="F29" s="27">
        <v>4.6654999999999995E-2</v>
      </c>
      <c r="G29" s="28">
        <f>+F29*$E29</f>
        <v>1370922.0855389712</v>
      </c>
      <c r="H29" s="27">
        <v>4.3473999999999999E-2</v>
      </c>
      <c r="I29" s="28">
        <f>+H29*$E29</f>
        <v>1277450.7929851299</v>
      </c>
    </row>
    <row r="30" spans="3:20">
      <c r="C30" s="12">
        <f>+C29-1</f>
        <v>-14</v>
      </c>
      <c r="D30" s="61" t="s">
        <v>31</v>
      </c>
      <c r="E30" s="8">
        <f>SUM(E27:E29)</f>
        <v>43453289.092160799</v>
      </c>
      <c r="G30" s="14">
        <f>SUM(G27:G29)</f>
        <v>2106929.9067297685</v>
      </c>
      <c r="I30" s="14">
        <f>SUM(I27:I29)</f>
        <v>2122144.4212214015</v>
      </c>
      <c r="L30" s="41" t="s">
        <v>194</v>
      </c>
      <c r="M30" s="6"/>
      <c r="N30" s="6"/>
      <c r="O30" s="80">
        <v>3.12</v>
      </c>
    </row>
    <row r="31" spans="3:20">
      <c r="C31" s="12">
        <f>+C30-1</f>
        <v>-15</v>
      </c>
      <c r="D31" s="33" t="s">
        <v>32</v>
      </c>
      <c r="O31" s="166"/>
      <c r="Q31" s="18"/>
    </row>
    <row r="32" spans="3:20">
      <c r="C32" s="12">
        <f>+C31-1</f>
        <v>-16</v>
      </c>
      <c r="D32" s="22" t="s">
        <v>66</v>
      </c>
      <c r="E32" s="8">
        <v>6268.6306294159222</v>
      </c>
      <c r="F32" s="150">
        <v>4.7226999999999998E-2</v>
      </c>
      <c r="G32" s="14">
        <f t="shared" si="1"/>
        <v>296.04861873542575</v>
      </c>
      <c r="H32" s="150">
        <v>5.3897E-2</v>
      </c>
      <c r="I32" s="14">
        <f t="shared" si="2"/>
        <v>337.86038503362994</v>
      </c>
      <c r="L32" s="41" t="s">
        <v>55</v>
      </c>
      <c r="M32" s="6"/>
      <c r="N32" s="6"/>
      <c r="O32" s="80">
        <v>0</v>
      </c>
      <c r="T32" s="14"/>
    </row>
    <row r="33" spans="3:21">
      <c r="C33" s="12">
        <f t="shared" si="0"/>
        <v>-17</v>
      </c>
      <c r="D33" s="22" t="s">
        <v>67</v>
      </c>
      <c r="E33" s="8">
        <v>88577190.810681939</v>
      </c>
      <c r="F33" s="27">
        <v>4.4804999999999998E-2</v>
      </c>
      <c r="G33" s="8">
        <f t="shared" si="1"/>
        <v>3968701.0342726042</v>
      </c>
      <c r="H33" s="27">
        <v>4.9043999999999997E-2</v>
      </c>
      <c r="I33" s="8">
        <f t="shared" si="2"/>
        <v>4344179.7461190848</v>
      </c>
    </row>
    <row r="34" spans="3:21" ht="14.25">
      <c r="C34" s="12">
        <f t="shared" si="0"/>
        <v>-18</v>
      </c>
      <c r="D34" s="22" t="s">
        <v>68</v>
      </c>
      <c r="E34" s="28">
        <v>17020.517278906333</v>
      </c>
      <c r="F34" s="27">
        <v>4.2862999999999998E-2</v>
      </c>
      <c r="G34" s="28">
        <f t="shared" si="1"/>
        <v>729.55043212576209</v>
      </c>
      <c r="H34" s="27">
        <v>4.5588999999999998E-2</v>
      </c>
      <c r="I34" s="28">
        <f t="shared" si="2"/>
        <v>775.94836222806077</v>
      </c>
    </row>
    <row r="35" spans="3:21" ht="14.25">
      <c r="C35" s="12">
        <f t="shared" si="0"/>
        <v>-19</v>
      </c>
      <c r="D35" s="61" t="s">
        <v>37</v>
      </c>
      <c r="E35" s="28">
        <f>SUM(E32:E34)</f>
        <v>88600479.958590269</v>
      </c>
      <c r="F35" s="150"/>
      <c r="G35" s="14">
        <f>SUM(G32:G34)</f>
        <v>3969726.633323465</v>
      </c>
      <c r="H35" s="150"/>
      <c r="I35" s="14">
        <f>SUM(I32:I34)</f>
        <v>4345293.5548663465</v>
      </c>
    </row>
    <row r="36" spans="3:21" ht="14.25">
      <c r="C36" s="12">
        <f t="shared" si="0"/>
        <v>-20</v>
      </c>
      <c r="D36" s="61" t="s">
        <v>39</v>
      </c>
      <c r="E36" s="8">
        <f>E35+E30</f>
        <v>132053769.05075106</v>
      </c>
      <c r="G36" s="28">
        <f>G35+G30</f>
        <v>6076656.5400532335</v>
      </c>
      <c r="I36" s="28">
        <f>I35+I30</f>
        <v>6467437.9760877481</v>
      </c>
      <c r="Q36" s="14"/>
    </row>
    <row r="37" spans="3:21">
      <c r="C37" s="12">
        <f t="shared" si="0"/>
        <v>-21</v>
      </c>
      <c r="D37" s="61" t="s">
        <v>238</v>
      </c>
      <c r="E37" s="8"/>
      <c r="F37" s="150"/>
      <c r="G37" s="14">
        <f>G18+G20+G24+G25+G30+G35</f>
        <v>8923182.9400532339</v>
      </c>
      <c r="H37" s="150"/>
      <c r="I37" s="14">
        <f>I18+I20+I24+I25+I30+I35</f>
        <v>10216765.176087748</v>
      </c>
    </row>
    <row r="38" spans="3:21">
      <c r="C38" s="12">
        <f t="shared" si="0"/>
        <v>-22</v>
      </c>
      <c r="D38" s="71" t="s">
        <v>239</v>
      </c>
      <c r="E38" s="8"/>
      <c r="F38" s="150"/>
      <c r="G38" s="14"/>
      <c r="H38" s="150"/>
      <c r="I38" s="14"/>
    </row>
    <row r="39" spans="3:21">
      <c r="C39" s="12">
        <f t="shared" si="0"/>
        <v>-23</v>
      </c>
      <c r="D39" s="22" t="s">
        <v>190</v>
      </c>
      <c r="E39" s="77">
        <v>48000</v>
      </c>
      <c r="F39" s="13">
        <v>3.3</v>
      </c>
      <c r="G39" s="14">
        <f>+F39*$E39</f>
        <v>158400</v>
      </c>
      <c r="H39" s="13">
        <f>O30</f>
        <v>3.12</v>
      </c>
      <c r="I39" s="14">
        <f>+H39*$E39</f>
        <v>149760</v>
      </c>
    </row>
    <row r="40" spans="3:21">
      <c r="C40" s="12">
        <f>+C39-1</f>
        <v>-24</v>
      </c>
      <c r="D40" s="22" t="s">
        <v>191</v>
      </c>
      <c r="E40" s="77">
        <v>31777.777777777803</v>
      </c>
      <c r="F40" s="3">
        <v>24.189999999999998</v>
      </c>
      <c r="G40" s="8">
        <f>+F40*$E40</f>
        <v>768704.44444444496</v>
      </c>
      <c r="H40" s="167">
        <v>9</v>
      </c>
      <c r="I40" s="8">
        <f>+H40*$E40</f>
        <v>286000.00000000023</v>
      </c>
    </row>
    <row r="41" spans="3:21" ht="14.25">
      <c r="C41" s="12">
        <f>+C40-1</f>
        <v>-25</v>
      </c>
      <c r="D41" s="22" t="s">
        <v>192</v>
      </c>
      <c r="F41" s="3">
        <v>1.2929999999999999</v>
      </c>
      <c r="G41" s="28">
        <f>+F41*$E41</f>
        <v>0</v>
      </c>
      <c r="H41" s="3">
        <v>1.248</v>
      </c>
      <c r="I41" s="28">
        <f>+H41*$E41</f>
        <v>0</v>
      </c>
    </row>
    <row r="42" spans="3:21">
      <c r="C42" s="12">
        <f>+C41-1</f>
        <v>-26</v>
      </c>
      <c r="D42" s="61" t="s">
        <v>240</v>
      </c>
      <c r="G42" s="14">
        <f>SUM(G39:G41)</f>
        <v>927104.44444444496</v>
      </c>
      <c r="I42" s="14">
        <f>SUM(I39:I40)</f>
        <v>435760.00000000023</v>
      </c>
    </row>
    <row r="43" spans="3:21" ht="14.25">
      <c r="C43" s="12">
        <f>+C42-1</f>
        <v>-27</v>
      </c>
      <c r="D43" s="3" t="s">
        <v>41</v>
      </c>
      <c r="E43" s="8"/>
      <c r="G43" s="28">
        <v>399811.28446962318</v>
      </c>
      <c r="I43" s="168">
        <v>0</v>
      </c>
    </row>
    <row r="44" spans="3:21">
      <c r="C44" s="12">
        <f t="shared" si="0"/>
        <v>-28</v>
      </c>
      <c r="D44" s="3" t="s">
        <v>43</v>
      </c>
      <c r="E44" s="8"/>
      <c r="G44" s="14">
        <f>G37+G42+G43</f>
        <v>10250098.668967303</v>
      </c>
      <c r="I44" s="14">
        <f>I37+I42+I43</f>
        <v>10652525.176087748</v>
      </c>
      <c r="S44" s="14"/>
    </row>
    <row r="45" spans="3:21">
      <c r="S45" s="14"/>
    </row>
    <row r="46" spans="3:21">
      <c r="C46" s="43" t="s">
        <v>45</v>
      </c>
      <c r="D46" s="44" t="s">
        <v>46</v>
      </c>
      <c r="E46" s="44" t="s">
        <v>46</v>
      </c>
      <c r="F46" s="44" t="s">
        <v>46</v>
      </c>
      <c r="G46" s="44" t="s">
        <v>46</v>
      </c>
      <c r="H46" s="44" t="s">
        <v>46</v>
      </c>
      <c r="I46" s="45" t="s">
        <v>47</v>
      </c>
      <c r="Q46" s="14"/>
    </row>
    <row r="48" spans="3:21">
      <c r="U48" s="14"/>
    </row>
    <row r="49" spans="9:18">
      <c r="I49" s="14"/>
      <c r="R49" s="14"/>
    </row>
    <row r="50" spans="9:18">
      <c r="R50" s="14"/>
    </row>
  </sheetData>
  <printOptions horizontalCentered="1"/>
  <pageMargins left="0.25" right="0.25" top="0.75" bottom="0.75" header="0.3" footer="0.3"/>
  <pageSetup scale="98" fitToHeight="0" orientation="portrait" r:id="rId1"/>
  <headerFooter scaleWithDoc="0">
    <oddFooter>&amp;RExhibit No. 44
Case No. IPC-E-25-16
G. Anderson, IPC
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E355C1AF9EC9489455BE76196417F9" ma:contentTypeVersion="8" ma:contentTypeDescription="Create a new document." ma:contentTypeScope="" ma:versionID="7aabf5ca7f3c62b7b239fd85fa028201">
  <xsd:schema xmlns:xsd="http://www.w3.org/2001/XMLSchema" xmlns:xs="http://www.w3.org/2001/XMLSchema" xmlns:p="http://schemas.microsoft.com/office/2006/metadata/properties" xmlns:ns2="a861b690-d0a9-4018-97d6-298fd6205a36" xmlns:ns3="d73927f9-2b79-496a-80ac-9ef64eb03c7b" targetNamespace="http://schemas.microsoft.com/office/2006/metadata/properties" ma:root="true" ma:fieldsID="e59beb11bb47b0b8343e38fe010f1a44" ns2:_="" ns3:_="">
    <xsd:import namespace="a861b690-d0a9-4018-97d6-298fd6205a36"/>
    <xsd:import namespace="d73927f9-2b79-496a-80ac-9ef64eb03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AddedInfo" minOccurs="0"/>
                <xsd:element ref="ns2:SortOrder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1b690-d0a9-4018-97d6-298fd6205a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edInfo" ma:index="13" nillable="true" ma:displayName="Added Info" ma:description="Further information on the file/folder" ma:format="Dropdown" ma:internalName="AddedInfo">
      <xsd:simpleType>
        <xsd:restriction base="dms:Note">
          <xsd:maxLength value="255"/>
        </xsd:restriction>
      </xsd:simpleType>
    </xsd:element>
    <xsd:element name="SortOrderr" ma:index="14" nillable="true" ma:displayName="Sort Orderr" ma:format="Dropdown" ma:internalName="SortOrderr" ma:percentage="FALSE">
      <xsd:simpleType>
        <xsd:restriction base="dms:Number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927f9-2b79-496a-80ac-9ef64eb03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rtOrderr xmlns="a861b690-d0a9-4018-97d6-298fd6205a36" xsi:nil="true"/>
    <AddedInfo xmlns="a861b690-d0a9-4018-97d6-298fd6205a36" xsi:nil="true"/>
  </documentManagement>
</p:properties>
</file>

<file path=customXml/itemProps1.xml><?xml version="1.0" encoding="utf-8"?>
<ds:datastoreItem xmlns:ds="http://schemas.openxmlformats.org/officeDocument/2006/customXml" ds:itemID="{7C4B5BC6-961D-488A-AE21-CF0A70C7D5FD}"/>
</file>

<file path=customXml/itemProps2.xml><?xml version="1.0" encoding="utf-8"?>
<ds:datastoreItem xmlns:ds="http://schemas.openxmlformats.org/officeDocument/2006/customXml" ds:itemID="{C3D8312C-A6B7-40C5-92CE-DB66907BE922}"/>
</file>

<file path=customXml/itemProps3.xml><?xml version="1.0" encoding="utf-8"?>
<ds:datastoreItem xmlns:ds="http://schemas.openxmlformats.org/officeDocument/2006/customXml" ds:itemID="{710A6116-7A0B-40EF-BE01-D63E1EED18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30</vt:i4>
      </vt:variant>
    </vt:vector>
  </HeadingPairs>
  <TitlesOfParts>
    <vt:vector size="59" baseType="lpstr">
      <vt:lpstr>I01+I06</vt:lpstr>
      <vt:lpstr>I01</vt:lpstr>
      <vt:lpstr>I06</vt:lpstr>
      <vt:lpstr>I03</vt:lpstr>
      <vt:lpstr>I05+IO6 TOU</vt:lpstr>
      <vt:lpstr>I05</vt:lpstr>
      <vt:lpstr>I06 TOU</vt:lpstr>
      <vt:lpstr>I07+I08</vt:lpstr>
      <vt:lpstr>I07</vt:lpstr>
      <vt:lpstr>I08</vt:lpstr>
      <vt:lpstr>I09S</vt:lpstr>
      <vt:lpstr>I09S_TOU</vt:lpstr>
      <vt:lpstr>I09P</vt:lpstr>
      <vt:lpstr>I09T</vt:lpstr>
      <vt:lpstr>I19S</vt:lpstr>
      <vt:lpstr>I19P</vt:lpstr>
      <vt:lpstr>I19T</vt:lpstr>
      <vt:lpstr>I24S</vt:lpstr>
      <vt:lpstr>I24T</vt:lpstr>
      <vt:lpstr>I15</vt:lpstr>
      <vt:lpstr>I40</vt:lpstr>
      <vt:lpstr>I41</vt:lpstr>
      <vt:lpstr>I42</vt:lpstr>
      <vt:lpstr>I26</vt:lpstr>
      <vt:lpstr>I29</vt:lpstr>
      <vt:lpstr>I30</vt:lpstr>
      <vt:lpstr>I32</vt:lpstr>
      <vt:lpstr>I33</vt:lpstr>
      <vt:lpstr>I34</vt:lpstr>
      <vt:lpstr>'I01'!Print_Area</vt:lpstr>
      <vt:lpstr>'I01+I06'!Print_Area</vt:lpstr>
      <vt:lpstr>'I03'!Print_Area</vt:lpstr>
      <vt:lpstr>'I05'!Print_Area</vt:lpstr>
      <vt:lpstr>'I05+IO6 TOU'!Print_Area</vt:lpstr>
      <vt:lpstr>'I06'!Print_Area</vt:lpstr>
      <vt:lpstr>'I06 TOU'!Print_Area</vt:lpstr>
      <vt:lpstr>'I07'!Print_Area</vt:lpstr>
      <vt:lpstr>'I07+I08'!Print_Area</vt:lpstr>
      <vt:lpstr>'I08'!Print_Area</vt:lpstr>
      <vt:lpstr>I09P!Print_Area</vt:lpstr>
      <vt:lpstr>I09S!Print_Area</vt:lpstr>
      <vt:lpstr>I09S_TOU!Print_Area</vt:lpstr>
      <vt:lpstr>I09T!Print_Area</vt:lpstr>
      <vt:lpstr>'I15'!Print_Area</vt:lpstr>
      <vt:lpstr>I19P!Print_Area</vt:lpstr>
      <vt:lpstr>I19S!Print_Area</vt:lpstr>
      <vt:lpstr>I19T!Print_Area</vt:lpstr>
      <vt:lpstr>I24S!Print_Area</vt:lpstr>
      <vt:lpstr>I24T!Print_Area</vt:lpstr>
      <vt:lpstr>'I26'!Print_Area</vt:lpstr>
      <vt:lpstr>'I29'!Print_Area</vt:lpstr>
      <vt:lpstr>'I30'!Print_Area</vt:lpstr>
      <vt:lpstr>'I32'!Print_Area</vt:lpstr>
      <vt:lpstr>'I33'!Print_Area</vt:lpstr>
      <vt:lpstr>'I34'!Print_Area</vt:lpstr>
      <vt:lpstr>'I40'!Print_Area</vt:lpstr>
      <vt:lpstr>'I41'!Print_Area</vt:lpstr>
      <vt:lpstr>'I42'!Print_Area</vt:lpstr>
      <vt:lpstr>'I41'!Print_Titles</vt:lpstr>
    </vt:vector>
  </TitlesOfParts>
  <Company>Idaho Power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Haxby, Jakob</dc:creator>
  <cp:lastModifiedBy>Haxby, Jakob</cp:lastModifiedBy>
  <dcterms:created xsi:type="dcterms:W3CDTF">2025-05-29T19:39:37Z</dcterms:created>
  <dcterms:modified xsi:type="dcterms:W3CDTF">2025-05-29T19:41:40Z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0x010100A9E355C1AF9EC9489455BE76196417F9</vt:lpwstr>
  </property>
</Properties>
</file>