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Jeppsen\"/>
    </mc:Choice>
  </mc:AlternateContent>
  <xr:revisionPtr revIDLastSave="0" documentId="13_ncr:1_{B05B91DE-607D-4168-8769-24C8BD6D047A}" xr6:coauthVersionLast="47" xr6:coauthVersionMax="47" xr10:uidLastSave="{00000000-0000-0000-0000-000000000000}"/>
  <bookViews>
    <workbookView xWindow="28680" yWindow="-120" windowWidth="29040" windowHeight="15840" xr2:uid="{A175DB9B-AF25-4623-A1F0-9274C01E9E76}"/>
  </bookViews>
  <sheets>
    <sheet name="OthOpRev451_454_456" sheetId="2" r:id="rId1"/>
    <sheet name="OthRevExp415_416" sheetId="7" r:id="rId2"/>
    <sheet name="O&amp;M YTD Act" sheetId="38" r:id="rId3"/>
    <sheet name="PropIns924" sheetId="12" r:id="rId4"/>
    <sheet name="RegComExp928" sheetId="13" r:id="rId5"/>
    <sheet name="Depr Amort Exp" sheetId="108" r:id="rId6"/>
    <sheet name="AmorGain&amp;Loss" sheetId="17" r:id="rId7"/>
    <sheet name="Reg407.3_407.4" sheetId="45" r:id="rId8"/>
    <sheet name="Taxes Other" sheetId="102" r:id="rId9"/>
    <sheet name="IERCO IncStmt" sheetId="6" r:id="rId10"/>
    <sheet name="AFUDC Hells Canyon" sheetId="98" r:id="rId11"/>
    <sheet name="EPIS" sheetId="109" r:id="rId12"/>
    <sheet name="AccDepr" sheetId="110" r:id="rId13"/>
    <sheet name="AccAmort" sheetId="22" r:id="rId14"/>
    <sheet name="M&amp;S" sheetId="21" r:id="rId15"/>
    <sheet name="OthDef" sheetId="24" r:id="rId16"/>
    <sheet name="PlantFutureUse" sheetId="105" r:id="rId17"/>
    <sheet name="DefTax" sheetId="111" r:id="rId18"/>
    <sheet name="CustAdv" sheetId="26" r:id="rId19"/>
    <sheet name="SubRtbs" sheetId="27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Z" localSheetId="12">#REF!</definedName>
    <definedName name="\Z" localSheetId="5">#REF!</definedName>
    <definedName name="\Z" localSheetId="11">#REF!</definedName>
    <definedName name="\Z">#REF!</definedName>
    <definedName name="__123Graph_C" localSheetId="12" hidden="1">'[1]2007 ADDITIONS-Page 3'!#REF!</definedName>
    <definedName name="__123Graph_C" localSheetId="5" hidden="1">'[1]2007 ADDITIONS-Page 3'!#REF!</definedName>
    <definedName name="__123Graph_C" localSheetId="11" hidden="1">'[1]2007 ADDITIONS-Page 3'!#REF!</definedName>
    <definedName name="__123Graph_C" hidden="1">'[1]2007 ADDITIONS-Page 3'!#REF!</definedName>
    <definedName name="__123Graph_F" localSheetId="12" hidden="1">'[1]2007 ADDITIONS-Page 3'!#REF!</definedName>
    <definedName name="__123Graph_F" localSheetId="5" hidden="1">'[1]2007 ADDITIONS-Page 3'!#REF!</definedName>
    <definedName name="__123Graph_F" localSheetId="11" hidden="1">'[1]2007 ADDITIONS-Page 3'!#REF!</definedName>
    <definedName name="__123Graph_F" hidden="1">'[1]2007 ADDITIONS-Page 3'!#REF!</definedName>
    <definedName name="__act2">[2]activity!$A$3:$B$208</definedName>
    <definedName name="__cat2">[2]categories!$A$2:$B$226</definedName>
    <definedName name="_1" hidden="1">'[1]2007 ADDITIONS-Page 3'!#REF!</definedName>
    <definedName name="_2" hidden="1">#REF!</definedName>
    <definedName name="_3" hidden="1">#REF!</definedName>
    <definedName name="_act2">[2]activity!$A$3:$B$208</definedName>
    <definedName name="_cat2">[2]categories!$A$2:$B$226</definedName>
    <definedName name="_Red2">[3]Instructions!$A$25</definedName>
    <definedName name="_Table1_In1" hidden="1">#REF!</definedName>
    <definedName name="_Table1_Out" hidden="1">#REF!</definedName>
    <definedName name="a">'[4]JSS-RevReq ALL'!#REF!</definedName>
    <definedName name="Account_Range">#REF!</definedName>
    <definedName name="acctd">[2]acctDeriv!$A$2:$B$3817</definedName>
    <definedName name="AF">#REF!</definedName>
    <definedName name="ALL">'[5]A1:M'!$B$1:$M$71</definedName>
    <definedName name="AMORT">#REF!</definedName>
    <definedName name="Annual_interest_rate">#REF!</definedName>
    <definedName name="ASD">#REF!</definedName>
    <definedName name="Assumptions">#REF!</definedName>
    <definedName name="ATWACC">'[6]Finance Inputs'!$F$33</definedName>
    <definedName name="BCC_INC">#REF!</definedName>
    <definedName name="begin">#REF!</definedName>
    <definedName name="BODY">#REF!</definedName>
    <definedName name="BUDDCE">[7]lookups!$C$92:$D$130</definedName>
    <definedName name="BUV">#REF!</definedName>
    <definedName name="Capital_Account_Range">#REF!</definedName>
    <definedName name="Capital_acctd">[2]acctDeriv!$A$2:$B$3817</definedName>
    <definedName name="Capital_act2">[2]activity!$A$3:$B$208</definedName>
    <definedName name="Capital_ASD">#REF!</definedName>
    <definedName name="Capital_BUV">#REF!</definedName>
    <definedName name="Capital_cat2">[2]categories!$A$2:$B$226</definedName>
    <definedName name="capvar11">37235.5210915509</definedName>
    <definedName name="ceb">#REF!</definedName>
    <definedName name="cen">37845.6296378472</definedName>
    <definedName name="Corp_Admin11">#REF!</definedName>
    <definedName name="Corp_Admin26">#REF!</definedName>
    <definedName name="Corp_Admin33">#REF!</definedName>
    <definedName name="Corp_Admin48">#REF!</definedName>
    <definedName name="Corp_Admin51">#REF!</definedName>
    <definedName name="Corp_Admin52">#REF!</definedName>
    <definedName name="Corp_Admin53">#REF!</definedName>
    <definedName name="Corp_Admin54">#REF!</definedName>
    <definedName name="Corp_Admin55">#REF!</definedName>
    <definedName name="Corp_Admin56">#REF!</definedName>
    <definedName name="Corp_Admin57">#REF!</definedName>
    <definedName name="Corp_Admin58">#REF!</definedName>
    <definedName name="Corp_Admin59">#REF!</definedName>
    <definedName name="Corp_Admin62">#REF!</definedName>
    <definedName name="Corp_Admin63">#REF!</definedName>
    <definedName name="Corp_Admin70">#REF!</definedName>
    <definedName name="Corp_AdminAD">#REF!</definedName>
    <definedName name="Corp_AdminCC">#REF!</definedName>
    <definedName name="Corp_AdminPT">#REF!</definedName>
    <definedName name="CRIT1">#REF!</definedName>
    <definedName name="CRIT2">#REF!</definedName>
    <definedName name="_xlnm.Criteria">#REF!</definedName>
    <definedName name="CUSTADV">#REF!</definedName>
    <definedName name="CWA">#REF!</definedName>
    <definedName name="d">#REF!</definedName>
    <definedName name="DAILYTRANSACTIONS">#REF!</definedName>
    <definedName name="DAILYTRANSPORT">#REF!</definedName>
    <definedName name="Date_Lookup">'[8]Date Lookup'!$A$3:$B$15</definedName>
    <definedName name="DAYS">'[9]PREPAIDS IN PPLS'!#REF!</definedName>
    <definedName name="DEC_APR01">'[5]A1:M'!$E$8:$M$22</definedName>
    <definedName name="DEC_APR02">'[5]A1:M'!$E$42:$M$56</definedName>
    <definedName name="DEC_AUG01">'[5]A1:M'!$I$8:$M$22</definedName>
    <definedName name="DEC_AUG02">'[5]A1:M'!$I$42:$M$56</definedName>
    <definedName name="DEC_DEC01">'[5]A1:M'!$M$8:$M$22</definedName>
    <definedName name="DEC_DEC02">'[5]A1:M'!$M$42:$M$56</definedName>
    <definedName name="DEC_FEB01">'[5]A1:M'!$C$8:$M$22</definedName>
    <definedName name="DEC_FEB02">'[5]A1:M'!$C$42:$M$56</definedName>
    <definedName name="DEC_JAN01">'[5]A1:M'!$B$8:$M$22</definedName>
    <definedName name="DEC_JAN02">'[5]A1:M'!$B$42:$M$56</definedName>
    <definedName name="DEC_JUL01">'[5]A1:M'!$H$8:$M$22</definedName>
    <definedName name="DEC_JUL02">'[5]A1:M'!$H$42:$M$56</definedName>
    <definedName name="DEC_JUN01">'[5]A1:M'!$G$8:$M$22</definedName>
    <definedName name="DEC_JUN02">'[5]A1:M'!$G$42:$M$56</definedName>
    <definedName name="DEC_MAR01">'[5]A1:M'!$D$8:$M$22</definedName>
    <definedName name="DEC_MAR02">'[5]A1:M'!$D$42:$M$56</definedName>
    <definedName name="DEC_MAY01">'[5]A1:M'!$F$8:$M$22</definedName>
    <definedName name="DEC_MAY02">'[5]A1:M'!$F$42:$M$56</definedName>
    <definedName name="DEC_NOV01">'[5]A1:M'!$L$8:$M$22</definedName>
    <definedName name="DEC_NOV02">'[5]A1:M'!$L$42:$M$56</definedName>
    <definedName name="DEC_OCT01">'[5]A1:M'!$K$8:$M$22</definedName>
    <definedName name="DEC_OCT02">'[5]A1:M'!$K$42:$M$56</definedName>
    <definedName name="DEC_SEP01">'[5]A1:M'!$J$8:$M$22</definedName>
    <definedName name="DEC_SEP02">'[5]A1:M'!$J$42:$M$56</definedName>
    <definedName name="DEFTAXES">#REF!</definedName>
    <definedName name="Delivery11">#REF!</definedName>
    <definedName name="Delivery12">#REF!</definedName>
    <definedName name="Delivery15">#REF!</definedName>
    <definedName name="Delivery16">#REF!</definedName>
    <definedName name="Delivery30">#REF!</definedName>
    <definedName name="Delivery31">#REF!</definedName>
    <definedName name="Delivery32">#REF!</definedName>
    <definedName name="Delivery33">#REF!</definedName>
    <definedName name="Delivery40">#REF!</definedName>
    <definedName name="Delivery41">#REF!</definedName>
    <definedName name="Delivery42">#REF!</definedName>
    <definedName name="Delivery43">#REF!</definedName>
    <definedName name="Delivery44">#REF!</definedName>
    <definedName name="Delivery45">#REF!</definedName>
    <definedName name="Delivery46">#REF!</definedName>
    <definedName name="Delivery47">#REF!</definedName>
    <definedName name="Delivery49">#REF!</definedName>
    <definedName name="Delivery51">#REF!</definedName>
    <definedName name="Delivery52">#REF!</definedName>
    <definedName name="Delivery53">#REF!</definedName>
    <definedName name="Delivery54">#REF!</definedName>
    <definedName name="Delivery55">#REF!</definedName>
    <definedName name="Delivery56">#REF!</definedName>
    <definedName name="Delivery58">#REF!</definedName>
    <definedName name="Delivery59">#REF!</definedName>
    <definedName name="Delivery62">#REF!</definedName>
    <definedName name="Delivery63">#REF!</definedName>
    <definedName name="Delivery70">#REF!</definedName>
    <definedName name="Delivery96">#REF!</definedName>
    <definedName name="DeliveryAD">#REF!</definedName>
    <definedName name="DeliveryCC">#REF!</definedName>
    <definedName name="DeliveryPT">#REF!</definedName>
    <definedName name="Department_Range">#REF!</definedName>
    <definedName name="DepRate">#REF!</definedName>
    <definedName name="DEPREC">#REF!</definedName>
    <definedName name="Dept_Descr">#REF!</definedName>
    <definedName name="Dept_Num">#REF!</definedName>
    <definedName name="deptid">[2]deptid!$A$2:$M$257</definedName>
    <definedName name="DETAIL">'[5]A1:M'!$B$77:$G$146</definedName>
    <definedName name="end">#REF!</definedName>
    <definedName name="EPIS">#REF!</definedName>
    <definedName name="Expenses">#REF!</definedName>
    <definedName name="f">#REF!</definedName>
    <definedName name="filename">#REF!</definedName>
    <definedName name="First_payment_due">#REF!</definedName>
    <definedName name="FUEL_INV">#REF!</definedName>
    <definedName name="GAIN">#REF!</definedName>
    <definedName name="GASTRANSACTIONS">#REF!</definedName>
    <definedName name="GOAL">#REF!</definedName>
    <definedName name="Green2">[3]Instructions!$A$23</definedName>
    <definedName name="IERCOINC">#REF!</definedName>
    <definedName name="IN">#REF!</definedName>
    <definedName name="INCOME">#REF!</definedName>
    <definedName name="INCTAX">'[6]Finance Inputs'!$F$15</definedName>
    <definedName name="INPUT_AREA">#REF!</definedName>
    <definedName name="Instructions_RevReq">#REF!</definedName>
    <definedName name="Interest">#REF!</definedName>
    <definedName name="ipoytd">[10]IPO!#REF!</definedName>
    <definedName name="ipp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TServiceDesk">'[11]Project Estimation'!$DQ$3:$DX$8</definedName>
    <definedName name="j">#REF!</definedName>
    <definedName name="Jil">#REF!</definedName>
    <definedName name="k">#REF!</definedName>
    <definedName name="LKUP_Func">#REF!</definedName>
    <definedName name="LOOKUP_TBL">'[4]JSS-RevReq ALL'!#REF!</definedName>
    <definedName name="LOOP">#REF!</definedName>
    <definedName name="los">'[12]Page 12'!#REF!</definedName>
    <definedName name="LYN">#REF!</definedName>
    <definedName name="M_S">#REF!</definedName>
    <definedName name="Modeltype">#REF!</definedName>
    <definedName name="Month">[3]Instructions!$B$3:$B$14</definedName>
    <definedName name="Monthly">#REF!</definedName>
    <definedName name="mrollup">#REF!</definedName>
    <definedName name="MTHLYLOCATIONCODE">#REF!</definedName>
    <definedName name="MTHLYTRANSPORT">#REF!</definedName>
    <definedName name="neworg">'[13]New Organization'!$A$3:$C$260</definedName>
    <definedName name="NvsAnswerCol">"[Drill1]JrnlLine!$A$5:$A$3910"</definedName>
    <definedName name="NvsASD">"V2001-06-30"</definedName>
    <definedName name="NvsAutoDrillOk">"VY"</definedName>
    <definedName name="NvsElapsedTime">0.000174884262378328</definedName>
    <definedName name="NvsEndTime">37088.5688835648</definedName>
    <definedName name="NvsInstLang">"VENG"</definedName>
    <definedName name="NvsInstSpec">"%,QZVAR_DPT_ACT_SPR,CA.POSTED_TOTAL_AMT,SYTD,FACCOUNT,V107000,FDEPTID,TSPR_DEPTS_2000,NERP"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"VGLOBL"</definedName>
    <definedName name="NvsParentRef">[14]Sheet1!$J$9</definedName>
    <definedName name="NvsReqBU">"VSPRES"</definedName>
    <definedName name="NvsReqBUOnly">"VN"</definedName>
    <definedName name="NvsTransLed">"VN"</definedName>
    <definedName name="NvsTreeASD">"V2001-06-30"</definedName>
    <definedName name="NvsValTbl.ACCOUNTING_PERIOD">"CAL_DETP_TBL"</definedName>
    <definedName name="NvsValTbl.ACTIVITY_ID">"FS_ACTIVITY_TBL"</definedName>
    <definedName name="NvsValTbl.DEPTID">"DEPARTMENT_TBL"</definedName>
    <definedName name="NvsValTbl.PRODUCT">"PRODUCT_TBL"</definedName>
    <definedName name="NvsValTbl.PROJECT_ID">"PROJECT_FS"</definedName>
    <definedName name="NvsValTbl.RESOURCE_CATEGORY">"PROJ_CATG_TBL"</definedName>
    <definedName name="NvsValTbl.RESOURCE_TYPE">"PROJ_RES_TYPE"</definedName>
    <definedName name="OMSUMM">#REF!</definedName>
    <definedName name="OPR">#REF!</definedName>
    <definedName name="OtherInc">#REF!</definedName>
    <definedName name="OTHREVNU">#REF!</definedName>
    <definedName name="OTHTAXES">#REF!</definedName>
    <definedName name="p">#REF!</definedName>
    <definedName name="pact2">[2]projact!$A$2:$B$1071</definedName>
    <definedName name="Page1">#REF!</definedName>
    <definedName name="page2">#REF!</definedName>
    <definedName name="page3">#REF!</definedName>
    <definedName name="page4">#REF!</definedName>
    <definedName name="path">#REF!</definedName>
    <definedName name="Payments_per_year">#REF!</definedName>
    <definedName name="PLEASE_DO_NOT_DISTURB_THIS_AREA">'[4]JSS-RevReq ALL'!#REF!</definedName>
    <definedName name="Pmt_to_use">#REF!</definedName>
    <definedName name="POCostsActual">#REF!</definedName>
    <definedName name="Power_Supply11">#REF!</definedName>
    <definedName name="Power_Supply21">#REF!</definedName>
    <definedName name="Power_Supply23">#REF!</definedName>
    <definedName name="Power_Supply24">#REF!</definedName>
    <definedName name="Power_Supply25">#REF!</definedName>
    <definedName name="Power_Supply26">#REF!</definedName>
    <definedName name="Power_Supply51">#REF!</definedName>
    <definedName name="Power_Supply52">#REF!</definedName>
    <definedName name="Power_Supply53">#REF!</definedName>
    <definedName name="Power_Supply55">#REF!</definedName>
    <definedName name="Power_Supply57">#REF!</definedName>
    <definedName name="Power_Supply58">#REF!</definedName>
    <definedName name="Power_Supply62">#REF!</definedName>
    <definedName name="Power_Supply63">#REF!</definedName>
    <definedName name="Power_Supply70">#REF!</definedName>
    <definedName name="Power_Supply96">#REF!</definedName>
    <definedName name="Power_SupplyAD">#REF!</definedName>
    <definedName name="Power_SupplyAQ">#REF!</definedName>
    <definedName name="Power_SupplyCC">#REF!</definedName>
    <definedName name="Power_SupplyHC">#REF!</definedName>
    <definedName name="Power_SupplyPT">#REF!</definedName>
    <definedName name="Power_SupplyRC">#REF!</definedName>
    <definedName name="Power_SupplyTL">#REF!</definedName>
    <definedName name="PreferredReq">#REF!</definedName>
    <definedName name="PREPAY">#REF!</definedName>
    <definedName name="_xlnm.Print_Area" localSheetId="13">AccAmort!$A$1:$AB$39</definedName>
    <definedName name="_xlnm.Print_Area" localSheetId="12">AccDepr!$A$1:$AB$38</definedName>
    <definedName name="_xlnm.Print_Area" localSheetId="6">'AmorGain&amp;Loss'!$A$1:$AD$16</definedName>
    <definedName name="_xlnm.Print_Area" localSheetId="18">CustAdv!$A$1:$AB$40</definedName>
    <definedName name="_xlnm.Print_Area" localSheetId="17">DefTax!$A$1:$F$50</definedName>
    <definedName name="_xlnm.Print_Area" localSheetId="5">'Depr Amort Exp'!$A$1:$AB$21</definedName>
    <definedName name="_xlnm.Print_Area" localSheetId="11">EPIS!$A$1:$AB$39</definedName>
    <definedName name="_xlnm.Print_Area" localSheetId="9">'IERCO IncStmt'!$A$1:$AB$44</definedName>
    <definedName name="_xlnm.Print_Area" localSheetId="2">'O&amp;M YTD Act'!$A$1:$AD$268</definedName>
    <definedName name="_xlnm.Print_Area" localSheetId="15">OthDef!$A$1:$AC$57</definedName>
    <definedName name="_xlnm.Print_Area" localSheetId="0">OthOpRev451_454_456!$A$1:$AB$72</definedName>
    <definedName name="_xlnm.Print_Area" localSheetId="1">OthRevExp415_416!$A$1:$AB$48</definedName>
    <definedName name="_xlnm.Print_Area" localSheetId="16">PlantFutureUse!$A$1:$AC$59</definedName>
    <definedName name="_xlnm.Print_Area" localSheetId="3">PropIns924!$A$1:$AB$36</definedName>
    <definedName name="_xlnm.Print_Area" localSheetId="7">'Reg407.3_407.4'!$A$1:$AB$30</definedName>
    <definedName name="_xlnm.Print_Area" localSheetId="4">RegComExp928!$A$1:$AB$57</definedName>
    <definedName name="_xlnm.Print_Area" localSheetId="19">SubRtbs!$A$1:$T$39</definedName>
    <definedName name="_xlnm.Print_Area" localSheetId="8">'Taxes Other'!$A$1:$AA$73</definedName>
    <definedName name="_xlnm.Print_Area">#REF!</definedName>
    <definedName name="Print_Area_MI" localSheetId="12">#REF!</definedName>
    <definedName name="Print_Area_MI" localSheetId="5">#REF!</definedName>
    <definedName name="Print_Area_MI" localSheetId="11">#REF!</definedName>
    <definedName name="Print_Area_MI">#REF!</definedName>
    <definedName name="Print_Summary" localSheetId="12">#REF!</definedName>
    <definedName name="Print_Summary" localSheetId="5">#REF!</definedName>
    <definedName name="Print_Summary" localSheetId="11">#REF!</definedName>
    <definedName name="Print_Summary">#REF!</definedName>
    <definedName name="_xlnm.Print_Titles" localSheetId="13">AccAmort!$A:$C</definedName>
    <definedName name="_xlnm.Print_Titles" localSheetId="12">AccDepr!$A:$C</definedName>
    <definedName name="_xlnm.Print_Titles" localSheetId="6">'AmorGain&amp;Loss'!$A:$E</definedName>
    <definedName name="_xlnm.Print_Titles" localSheetId="11">EPIS!$A:$C</definedName>
    <definedName name="_xlnm.Print_Titles" localSheetId="2">'O&amp;M YTD Act'!$A:$E</definedName>
    <definedName name="_xlnm.Print_Titles" localSheetId="0">OthOpRev451_454_456!$A:$C</definedName>
    <definedName name="_xlnm.Print_Titles" localSheetId="1">OthRevExp415_416!$A:$C,OthRevExp415_416!$1:$2</definedName>
    <definedName name="_xlnm.Print_Titles" localSheetId="3">PropIns924!$A:$C</definedName>
    <definedName name="_xlnm.Print_Titles" localSheetId="7">'Reg407.3_407.4'!$A:$C</definedName>
    <definedName name="_xlnm.Print_Titles" localSheetId="4">RegComExp928!$A:$C</definedName>
    <definedName name="_xlnm.Print_Titles" localSheetId="19">SubRtbs!$1:$3</definedName>
    <definedName name="PrintActualRecast" localSheetId="12">#REF!</definedName>
    <definedName name="PrintActualRecast" localSheetId="5">#REF!</definedName>
    <definedName name="PrintActualRecast" localSheetId="11">#REF!</definedName>
    <definedName name="PrintActualRecast">#REF!</definedName>
    <definedName name="PrintSummary" localSheetId="12">#REF!</definedName>
    <definedName name="PrintSummary" localSheetId="5">#REF!</definedName>
    <definedName name="PrintSummary" localSheetId="11">#REF!</definedName>
    <definedName name="PrintSummary">#REF!</definedName>
    <definedName name="ProClarityColumn" localSheetId="12">#REF!</definedName>
    <definedName name="ProClarityColumn" localSheetId="5">#REF!</definedName>
    <definedName name="ProClarityColumn" localSheetId="11">#REF!</definedName>
    <definedName name="ProClarityColumn">#REF!</definedName>
    <definedName name="ProClarityData">#REF!</definedName>
    <definedName name="ProClarityRow">#REF!</definedName>
    <definedName name="ProClarityTitle">#REF!</definedName>
    <definedName name="prod1">[2]product!$A$2:$A$84</definedName>
    <definedName name="prod2">[2]product!$A$2:$C$84</definedName>
    <definedName name="proj1">[2]projects!$A$2:$A$12</definedName>
    <definedName name="proj2">[2]projects!$A$2:$D$12</definedName>
    <definedName name="PROPINS" localSheetId="12">#REF!</definedName>
    <definedName name="PROPINS" localSheetId="5">#REF!</definedName>
    <definedName name="PROPINS" localSheetId="11">#REF!</definedName>
    <definedName name="PROPINS">#REF!</definedName>
    <definedName name="Purchase" localSheetId="12">#REF!</definedName>
    <definedName name="Purchase" localSheetId="5">#REF!</definedName>
    <definedName name="Purchase" localSheetId="11">#REF!</definedName>
    <definedName name="Purchase">#REF!</definedName>
    <definedName name="ralph">40609.1230208333</definedName>
    <definedName name="range">#REF!</definedName>
    <definedName name="REG_EXP">#REF!</definedName>
    <definedName name="Resource_range">#REF!</definedName>
    <definedName name="rest2">[2]resource!$A$2:$C$30</definedName>
    <definedName name="RESULT" localSheetId="12">#REF!</definedName>
    <definedName name="RESULT" localSheetId="5">#REF!</definedName>
    <definedName name="RESULT" localSheetId="11">#REF!</definedName>
    <definedName name="RESULT">#REF!</definedName>
    <definedName name="REVENUE">#N/A</definedName>
    <definedName name="Revenues" localSheetId="12">#REF!</definedName>
    <definedName name="Revenues" localSheetId="5">#REF!</definedName>
    <definedName name="Revenues" localSheetId="11">#REF!</definedName>
    <definedName name="Revenues">#REF!</definedName>
    <definedName name="RID" localSheetId="12">#REF!</definedName>
    <definedName name="RID" localSheetId="5">#REF!</definedName>
    <definedName name="RID" localSheetId="11">#REF!</definedName>
    <definedName name="RID">#REF!</definedName>
    <definedName name="rngPaidInvcLn">#REF!</definedName>
    <definedName name="rngPctToAccrue">#REF!</definedName>
    <definedName name="rngPMToAccrue">#REF!</definedName>
    <definedName name="rngUnPaidInvcLn">#REF!</definedName>
    <definedName name="row_end">#REF!</definedName>
    <definedName name="Row_format">#REF!</definedName>
    <definedName name="row_start">#REF!</definedName>
    <definedName name="S">#REF!</definedName>
    <definedName name="SCD">#REF!</definedName>
    <definedName name="SCN">#REF!</definedName>
    <definedName name="seco">'[12]Page 12'!#REF!</definedName>
    <definedName name="Sheet1_DataTable">#REF!</definedName>
    <definedName name="SOLAR">#REF!</definedName>
    <definedName name="sppco">'[12]Page 12'!#REF!</definedName>
    <definedName name="sprhold">'[12]Page 12'!#REF!</definedName>
    <definedName name="Start_Node">#REF!</definedName>
    <definedName name="SUMMARY">#REF!</definedName>
    <definedName name="SYD">'[15]A-1'!$BA$6:$BA$7</definedName>
    <definedName name="Tab">"&amp;[Tab]"</definedName>
    <definedName name="TAX">#REF!</definedName>
    <definedName name="Term_in_years">#REF!</definedName>
    <definedName name="test">#REF!</definedName>
    <definedName name="test2" hidden="1">#REF!</definedName>
    <definedName name="test3" hidden="1">#REF!</definedName>
    <definedName name="test4">#REF!</definedName>
    <definedName name="test5">#REF!</definedName>
    <definedName name="test6">#REF!</definedName>
    <definedName name="test7">#REF!</definedName>
    <definedName name="transpose">'[16]2005 - 2025 '!#REF!</definedName>
    <definedName name="tuscarora">'[12]Page 12'!#REF!</definedName>
    <definedName name="TWELVE_MONTHS_ENDED_DECEMBER_31__1996">[17]Data!#REF!</definedName>
    <definedName name="varcap11npc" localSheetId="12">#REF!</definedName>
    <definedName name="varcap11npc" localSheetId="5">#REF!</definedName>
    <definedName name="varcap11npc" localSheetId="11">#REF!</definedName>
    <definedName name="varcap11npc">#REF!</definedName>
    <definedName name="WATERHTR" localSheetId="12">#REF!</definedName>
    <definedName name="WATERHTR" localSheetId="5">#REF!</definedName>
    <definedName name="WATERHTR" localSheetId="11">#REF!</definedName>
    <definedName name="WATERHTR">#REF!</definedName>
    <definedName name="whatever" localSheetId="12">#REF!</definedName>
    <definedName name="whatever" localSheetId="5">#REF!</definedName>
    <definedName name="whatever" localSheetId="11">#REF!</definedName>
    <definedName name="whatever">#REF!</definedName>
    <definedName name="wrn.2a3." localSheetId="12" hidden="1">{"page1",#N/A,FALSE,"ADDITIONS";"page2",#N/A,FALSE,"ADDITIONS";"q2k",#N/A,FALSE,"ADDITIONS"}</definedName>
    <definedName name="wrn.2a3." localSheetId="5" hidden="1">{"page1",#N/A,FALSE,"ADDITIONS";"page2",#N/A,FALSE,"ADDITIONS";"q2k",#N/A,FALSE,"ADDITIONS"}</definedName>
    <definedName name="wrn.2a3." localSheetId="11" hidden="1">{"page1",#N/A,FALSE,"ADDITIONS";"page2",#N/A,FALSE,"ADDITIONS";"q2k",#N/A,FALSE,"ADDITIONS"}</definedName>
    <definedName name="wrn.2a3." hidden="1">{"page1",#N/A,FALSE,"ADDITIONS";"page2",#N/A,FALSE,"ADDITIONS";"q2k",#N/A,FALSE,"ADDITIONS"}</definedName>
    <definedName name="Years">[18]Trackers!$F$3:$F$25</definedName>
    <definedName name="YRONE">'[6]Finance Inputs'!$F$6</definedName>
    <definedName name="ytdrollup">#REF!</definedName>
    <definedName name="yy">#REF!</definedName>
    <definedName name="ZIP_PRGM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6" l="1"/>
  <c r="A3" i="21"/>
  <c r="A4" i="22"/>
  <c r="B30" i="111"/>
  <c r="E29" i="111"/>
  <c r="C29" i="111"/>
  <c r="E28" i="111"/>
  <c r="C28" i="111"/>
  <c r="D27" i="111"/>
  <c r="E27" i="111" s="1"/>
  <c r="C27" i="111"/>
  <c r="D26" i="111"/>
  <c r="E26" i="111" s="1"/>
  <c r="C26" i="111"/>
  <c r="D25" i="111"/>
  <c r="C25" i="111" s="1"/>
  <c r="D24" i="111"/>
  <c r="E24" i="111" s="1"/>
  <c r="D20" i="111"/>
  <c r="D21" i="111" s="1"/>
  <c r="B20" i="111"/>
  <c r="C20" i="111" s="1"/>
  <c r="C21" i="111" s="1"/>
  <c r="B17" i="111"/>
  <c r="E16" i="111"/>
  <c r="C16" i="111"/>
  <c r="D15" i="111"/>
  <c r="E15" i="111" s="1"/>
  <c r="C15" i="111"/>
  <c r="E14" i="111"/>
  <c r="D14" i="111"/>
  <c r="C14" i="111"/>
  <c r="E13" i="111"/>
  <c r="C13" i="111"/>
  <c r="D12" i="111"/>
  <c r="E12" i="111" s="1"/>
  <c r="C12" i="111"/>
  <c r="D11" i="111"/>
  <c r="E11" i="111" s="1"/>
  <c r="C11" i="111"/>
  <c r="D10" i="111"/>
  <c r="E10" i="111" s="1"/>
  <c r="C10" i="111"/>
  <c r="D9" i="111"/>
  <c r="D17" i="111" s="1"/>
  <c r="C9" i="111"/>
  <c r="E8" i="111"/>
  <c r="C8" i="111"/>
  <c r="C17" i="111" s="1"/>
  <c r="Z243" i="38"/>
  <c r="B32" i="111" l="1"/>
  <c r="E9" i="111"/>
  <c r="E17" i="111" s="1"/>
  <c r="E32" i="111" s="1"/>
  <c r="E20" i="111"/>
  <c r="E21" i="111" s="1"/>
  <c r="B21" i="111"/>
  <c r="D30" i="111"/>
  <c r="D32" i="111" s="1"/>
  <c r="C24" i="111"/>
  <c r="C30" i="111" s="1"/>
  <c r="C32" i="111" s="1"/>
  <c r="C35" i="111" s="1"/>
  <c r="C38" i="111" s="1"/>
  <c r="E25" i="111"/>
  <c r="E30" i="111" s="1"/>
  <c r="Z38" i="110" l="1"/>
  <c r="X38" i="110"/>
  <c r="V38" i="110"/>
  <c r="U38" i="110"/>
  <c r="M38" i="110"/>
  <c r="G38" i="110"/>
  <c r="E38" i="110"/>
  <c r="I35" i="110"/>
  <c r="I33" i="110"/>
  <c r="O33" i="110" s="1"/>
  <c r="Q33" i="110" s="1"/>
  <c r="I31" i="110"/>
  <c r="I29" i="110"/>
  <c r="I27" i="110"/>
  <c r="I25" i="110"/>
  <c r="O25" i="110" s="1"/>
  <c r="Q25" i="110" s="1"/>
  <c r="I23" i="110"/>
  <c r="O23" i="110" s="1"/>
  <c r="Q23" i="110" s="1"/>
  <c r="T23" i="110" s="1"/>
  <c r="AB23" i="110" s="1"/>
  <c r="I21" i="110"/>
  <c r="I19" i="110"/>
  <c r="I17" i="110"/>
  <c r="O15" i="110"/>
  <c r="Q15" i="110" s="1"/>
  <c r="T15" i="110" s="1"/>
  <c r="AB15" i="110" s="1"/>
  <c r="I15" i="110"/>
  <c r="I13" i="110"/>
  <c r="I11" i="110"/>
  <c r="A3" i="110"/>
  <c r="Z38" i="109"/>
  <c r="X38" i="109"/>
  <c r="V38" i="109"/>
  <c r="M38" i="109"/>
  <c r="G38" i="109"/>
  <c r="E38" i="109"/>
  <c r="I35" i="109"/>
  <c r="O35" i="109" s="1"/>
  <c r="Q35" i="109" s="1"/>
  <c r="I33" i="109"/>
  <c r="I31" i="109"/>
  <c r="I29" i="109"/>
  <c r="O29" i="109" s="1"/>
  <c r="Q29" i="109" s="1"/>
  <c r="T29" i="109" s="1"/>
  <c r="AB29" i="109" s="1"/>
  <c r="I27" i="109"/>
  <c r="I25" i="109"/>
  <c r="I23" i="109"/>
  <c r="O21" i="109"/>
  <c r="Q21" i="109" s="1"/>
  <c r="T21" i="109" s="1"/>
  <c r="AB21" i="109" s="1"/>
  <c r="I21" i="109"/>
  <c r="I19" i="109"/>
  <c r="I17" i="109"/>
  <c r="I15" i="109"/>
  <c r="I13" i="109"/>
  <c r="I11" i="109"/>
  <c r="Z18" i="108"/>
  <c r="X18" i="108"/>
  <c r="V18" i="108"/>
  <c r="M18" i="108"/>
  <c r="G18" i="108"/>
  <c r="E16" i="108"/>
  <c r="I16" i="108" s="1"/>
  <c r="I14" i="108"/>
  <c r="I18" i="108" s="1"/>
  <c r="E14" i="108"/>
  <c r="E18" i="108" s="1"/>
  <c r="A3" i="108"/>
  <c r="T33" i="110" l="1"/>
  <c r="AB33" i="110" s="1"/>
  <c r="T25" i="110"/>
  <c r="AB25" i="110" s="1"/>
  <c r="O27" i="110"/>
  <c r="Q27" i="110" s="1"/>
  <c r="T27" i="110" s="1"/>
  <c r="AB27" i="110" s="1"/>
  <c r="O17" i="110"/>
  <c r="Q17" i="110" s="1"/>
  <c r="T17" i="110" s="1"/>
  <c r="AB17" i="110" s="1"/>
  <c r="O35" i="110"/>
  <c r="Q35" i="110" s="1"/>
  <c r="T35" i="110" s="1"/>
  <c r="AB35" i="110" s="1"/>
  <c r="O19" i="110"/>
  <c r="Q19" i="110" s="1"/>
  <c r="T19" i="110" s="1"/>
  <c r="AB19" i="110" s="1"/>
  <c r="O11" i="110"/>
  <c r="I38" i="110"/>
  <c r="O29" i="110"/>
  <c r="Q29" i="110" s="1"/>
  <c r="T29" i="110" s="1"/>
  <c r="AB29" i="110" s="1"/>
  <c r="O21" i="110"/>
  <c r="Q21" i="110" s="1"/>
  <c r="T21" i="110" s="1"/>
  <c r="AB21" i="110" s="1"/>
  <c r="O13" i="110"/>
  <c r="Q13" i="110" s="1"/>
  <c r="T13" i="110" s="1"/>
  <c r="AB13" i="110" s="1"/>
  <c r="O31" i="110"/>
  <c r="Q31" i="110" s="1"/>
  <c r="T31" i="110" s="1"/>
  <c r="AB31" i="110" s="1"/>
  <c r="T27" i="109"/>
  <c r="AB27" i="109" s="1"/>
  <c r="T33" i="109"/>
  <c r="AB33" i="109" s="1"/>
  <c r="T13" i="109"/>
  <c r="AB13" i="109" s="1"/>
  <c r="T15" i="109"/>
  <c r="AB15" i="109" s="1"/>
  <c r="T17" i="109"/>
  <c r="AB17" i="109" s="1"/>
  <c r="T19" i="109"/>
  <c r="AB19" i="109" s="1"/>
  <c r="O31" i="109"/>
  <c r="Q31" i="109" s="1"/>
  <c r="T31" i="109" s="1"/>
  <c r="AB31" i="109" s="1"/>
  <c r="O23" i="109"/>
  <c r="Q23" i="109" s="1"/>
  <c r="T23" i="109" s="1"/>
  <c r="AB23" i="109" s="1"/>
  <c r="O25" i="109"/>
  <c r="Q25" i="109" s="1"/>
  <c r="T25" i="109" s="1"/>
  <c r="AB25" i="109" s="1"/>
  <c r="O27" i="109"/>
  <c r="Q27" i="109" s="1"/>
  <c r="T35" i="109"/>
  <c r="AB35" i="109" s="1"/>
  <c r="O13" i="109"/>
  <c r="Q13" i="109" s="1"/>
  <c r="O15" i="109"/>
  <c r="Q15" i="109" s="1"/>
  <c r="O33" i="109"/>
  <c r="Q33" i="109" s="1"/>
  <c r="O17" i="109"/>
  <c r="Q17" i="109" s="1"/>
  <c r="O19" i="109"/>
  <c r="Q19" i="109" s="1"/>
  <c r="O11" i="109"/>
  <c r="I38" i="109"/>
  <c r="O16" i="108"/>
  <c r="Q16" i="108" s="1"/>
  <c r="T16" i="108" s="1"/>
  <c r="AB16" i="108" s="1"/>
  <c r="O14" i="108"/>
  <c r="AD172" i="38"/>
  <c r="V171" i="38"/>
  <c r="A167" i="38"/>
  <c r="M172" i="38"/>
  <c r="K172" i="38"/>
  <c r="I172" i="38"/>
  <c r="G172" i="38"/>
  <c r="G211" i="38"/>
  <c r="AA57" i="105"/>
  <c r="Y57" i="105"/>
  <c r="W57" i="105"/>
  <c r="O57" i="105"/>
  <c r="M57" i="105"/>
  <c r="G57" i="105"/>
  <c r="I57" i="105" s="1"/>
  <c r="E57" i="105"/>
  <c r="Q56" i="105"/>
  <c r="I56" i="105"/>
  <c r="U56" i="105" s="1"/>
  <c r="AC56" i="105" s="1"/>
  <c r="Q55" i="105"/>
  <c r="Q57" i="105" s="1"/>
  <c r="I55" i="105"/>
  <c r="Q54" i="105"/>
  <c r="I54" i="105"/>
  <c r="U54" i="105" s="1"/>
  <c r="AC54" i="105" s="1"/>
  <c r="I53" i="105"/>
  <c r="U53" i="105" s="1"/>
  <c r="AC53" i="105" s="1"/>
  <c r="I52" i="105"/>
  <c r="U52" i="105" s="1"/>
  <c r="AC52" i="105" s="1"/>
  <c r="Q51" i="105"/>
  <c r="I51" i="105"/>
  <c r="U51" i="105" s="1"/>
  <c r="AC51" i="105" s="1"/>
  <c r="I50" i="105"/>
  <c r="U50" i="105" s="1"/>
  <c r="AC50" i="105" s="1"/>
  <c r="Q49" i="105"/>
  <c r="I49" i="105"/>
  <c r="U49" i="105" s="1"/>
  <c r="AC49" i="105" s="1"/>
  <c r="Q48" i="105"/>
  <c r="I48" i="105"/>
  <c r="U48" i="105" s="1"/>
  <c r="AC48" i="105" s="1"/>
  <c r="U47" i="105"/>
  <c r="AC47" i="105" s="1"/>
  <c r="I47" i="105"/>
  <c r="Q46" i="105"/>
  <c r="I46" i="105"/>
  <c r="U46" i="105" s="1"/>
  <c r="AC46" i="105" s="1"/>
  <c r="I45" i="105"/>
  <c r="U45" i="105" s="1"/>
  <c r="AC45" i="105" s="1"/>
  <c r="Q44" i="105"/>
  <c r="I44" i="105"/>
  <c r="U44" i="105" s="1"/>
  <c r="AA41" i="105"/>
  <c r="AA59" i="105" s="1"/>
  <c r="Y41" i="105"/>
  <c r="Y59" i="105" s="1"/>
  <c r="W41" i="105"/>
  <c r="W59" i="105" s="1"/>
  <c r="O41" i="105"/>
  <c r="O59" i="105" s="1"/>
  <c r="M41" i="105"/>
  <c r="M59" i="105" s="1"/>
  <c r="G41" i="105"/>
  <c r="I41" i="105" s="1"/>
  <c r="E41" i="105"/>
  <c r="I40" i="105"/>
  <c r="U40" i="105" s="1"/>
  <c r="AC40" i="105" s="1"/>
  <c r="Q39" i="105"/>
  <c r="I39" i="105"/>
  <c r="U39" i="105" s="1"/>
  <c r="AC39" i="105" s="1"/>
  <c r="Q38" i="105"/>
  <c r="I38" i="105"/>
  <c r="U38" i="105" s="1"/>
  <c r="AC38" i="105" s="1"/>
  <c r="I37" i="105"/>
  <c r="U37" i="105" s="1"/>
  <c r="AC37" i="105" s="1"/>
  <c r="U36" i="105"/>
  <c r="AC36" i="105" s="1"/>
  <c r="Q36" i="105"/>
  <c r="I36" i="105"/>
  <c r="Q35" i="105"/>
  <c r="I35" i="105"/>
  <c r="U35" i="105" s="1"/>
  <c r="AC35" i="105" s="1"/>
  <c r="Q34" i="105"/>
  <c r="I34" i="105"/>
  <c r="U34" i="105" s="1"/>
  <c r="AC34" i="105" s="1"/>
  <c r="Q33" i="105"/>
  <c r="I33" i="105"/>
  <c r="U33" i="105" s="1"/>
  <c r="AC33" i="105" s="1"/>
  <c r="Q32" i="105"/>
  <c r="I32" i="105"/>
  <c r="U32" i="105" s="1"/>
  <c r="AC32" i="105" s="1"/>
  <c r="I31" i="105"/>
  <c r="U31" i="105" s="1"/>
  <c r="AC31" i="105" s="1"/>
  <c r="Q30" i="105"/>
  <c r="I30" i="105"/>
  <c r="U30" i="105" s="1"/>
  <c r="AC30" i="105" s="1"/>
  <c r="Q29" i="105"/>
  <c r="I29" i="105"/>
  <c r="U29" i="105" s="1"/>
  <c r="AC29" i="105" s="1"/>
  <c r="Q28" i="105"/>
  <c r="I28" i="105"/>
  <c r="U28" i="105" s="1"/>
  <c r="AC28" i="105" s="1"/>
  <c r="I27" i="105"/>
  <c r="U27" i="105" s="1"/>
  <c r="AC27" i="105" s="1"/>
  <c r="U26" i="105"/>
  <c r="AC26" i="105" s="1"/>
  <c r="Q26" i="105"/>
  <c r="I26" i="105"/>
  <c r="Q25" i="105"/>
  <c r="I25" i="105"/>
  <c r="U25" i="105" s="1"/>
  <c r="AC25" i="105" s="1"/>
  <c r="I24" i="105"/>
  <c r="U24" i="105" s="1"/>
  <c r="AC24" i="105" s="1"/>
  <c r="Q23" i="105"/>
  <c r="I23" i="105"/>
  <c r="U23" i="105" s="1"/>
  <c r="AC23" i="105" s="1"/>
  <c r="Q22" i="105"/>
  <c r="I22" i="105"/>
  <c r="U22" i="105" s="1"/>
  <c r="AC22" i="105" s="1"/>
  <c r="U21" i="105"/>
  <c r="AC21" i="105" s="1"/>
  <c r="Q21" i="105"/>
  <c r="I21" i="105"/>
  <c r="Q20" i="105"/>
  <c r="I20" i="105"/>
  <c r="U20" i="105" s="1"/>
  <c r="AC20" i="105" s="1"/>
  <c r="Q19" i="105"/>
  <c r="Q41" i="105" s="1"/>
  <c r="Q59" i="105" s="1"/>
  <c r="I19" i="105"/>
  <c r="U19" i="105" s="1"/>
  <c r="AC19" i="105" s="1"/>
  <c r="Q18" i="105"/>
  <c r="I18" i="105"/>
  <c r="U18" i="105" s="1"/>
  <c r="AA15" i="105"/>
  <c r="Y15" i="105"/>
  <c r="W15" i="105"/>
  <c r="Q15" i="105"/>
  <c r="O15" i="105"/>
  <c r="M15" i="105"/>
  <c r="G15" i="105"/>
  <c r="E15" i="105"/>
  <c r="E59" i="105" s="1"/>
  <c r="Q14" i="105"/>
  <c r="I14" i="105"/>
  <c r="U14" i="105" s="1"/>
  <c r="AC14" i="105" s="1"/>
  <c r="A14" i="105"/>
  <c r="A15" i="105" s="1"/>
  <c r="A18" i="105" s="1"/>
  <c r="A19" i="105" s="1"/>
  <c r="A20" i="105" s="1"/>
  <c r="A21" i="105" s="1"/>
  <c r="A22" i="105" s="1"/>
  <c r="A23" i="105" s="1"/>
  <c r="A24" i="105" s="1"/>
  <c r="A25" i="105" s="1"/>
  <c r="A26" i="105" s="1"/>
  <c r="A27" i="105" s="1"/>
  <c r="A28" i="105" s="1"/>
  <c r="A29" i="105" s="1"/>
  <c r="A30" i="105" s="1"/>
  <c r="A31" i="105" s="1"/>
  <c r="A32" i="105" s="1"/>
  <c r="A33" i="105" s="1"/>
  <c r="A34" i="105" s="1"/>
  <c r="A35" i="105" s="1"/>
  <c r="A36" i="105" s="1"/>
  <c r="A37" i="105" s="1"/>
  <c r="A38" i="105" s="1"/>
  <c r="A39" i="105" s="1"/>
  <c r="A40" i="105" s="1"/>
  <c r="A41" i="105" s="1"/>
  <c r="A44" i="105" s="1"/>
  <c r="A45" i="105" s="1"/>
  <c r="A46" i="105" s="1"/>
  <c r="A47" i="105" s="1"/>
  <c r="A48" i="105" s="1"/>
  <c r="A49" i="105" s="1"/>
  <c r="A50" i="105" s="1"/>
  <c r="A51" i="105" s="1"/>
  <c r="A52" i="105" s="1"/>
  <c r="A53" i="105" s="1"/>
  <c r="A54" i="105" s="1"/>
  <c r="A55" i="105" s="1"/>
  <c r="A56" i="105" s="1"/>
  <c r="A57" i="105" s="1"/>
  <c r="A59" i="105" s="1"/>
  <c r="Q13" i="105"/>
  <c r="I13" i="105"/>
  <c r="U13" i="105" s="1"/>
  <c r="O38" i="110" l="1"/>
  <c r="Q11" i="110"/>
  <c r="O38" i="109"/>
  <c r="Q11" i="109"/>
  <c r="Q14" i="108"/>
  <c r="O18" i="108"/>
  <c r="U15" i="105"/>
  <c r="AC13" i="105"/>
  <c r="AC15" i="105" s="1"/>
  <c r="U57" i="105"/>
  <c r="AC44" i="105"/>
  <c r="AC57" i="105" s="1"/>
  <c r="AC18" i="105"/>
  <c r="AC41" i="105" s="1"/>
  <c r="AC59" i="105" s="1"/>
  <c r="U41" i="105"/>
  <c r="U59" i="105" s="1"/>
  <c r="I59" i="105"/>
  <c r="U55" i="105"/>
  <c r="AC55" i="105" s="1"/>
  <c r="I15" i="105"/>
  <c r="G59" i="105"/>
  <c r="Q38" i="110" l="1"/>
  <c r="T11" i="110"/>
  <c r="Q38" i="109"/>
  <c r="T11" i="109"/>
  <c r="Q18" i="108"/>
  <c r="T14" i="108"/>
  <c r="O39" i="21"/>
  <c r="K39" i="21"/>
  <c r="T38" i="110" l="1"/>
  <c r="AB11" i="110"/>
  <c r="AB38" i="110" s="1"/>
  <c r="T38" i="109"/>
  <c r="AB11" i="109"/>
  <c r="AB38" i="109" s="1"/>
  <c r="AB14" i="108"/>
  <c r="AB18" i="108" s="1"/>
  <c r="T18" i="108"/>
  <c r="E39" i="12"/>
  <c r="Q244" i="38"/>
  <c r="Y36" i="102" l="1"/>
  <c r="W36" i="102"/>
  <c r="L27" i="102"/>
  <c r="Y27" i="102"/>
  <c r="F46" i="102"/>
  <c r="W57" i="102" l="1"/>
  <c r="P57" i="102"/>
  <c r="N57" i="102"/>
  <c r="F57" i="102"/>
  <c r="D56" i="102"/>
  <c r="D57" i="102" s="1"/>
  <c r="P33" i="102"/>
  <c r="H33" i="102"/>
  <c r="S33" i="102" l="1"/>
  <c r="AA33" i="102" s="1"/>
  <c r="F36" i="102" l="1"/>
  <c r="D36" i="102"/>
  <c r="N35" i="102"/>
  <c r="P35" i="102" s="1"/>
  <c r="N34" i="102"/>
  <c r="P34" i="102" s="1"/>
  <c r="H34" i="102"/>
  <c r="H35" i="102"/>
  <c r="H62" i="102"/>
  <c r="P62" i="102"/>
  <c r="H52" i="102"/>
  <c r="P52" i="102"/>
  <c r="W53" i="102"/>
  <c r="H55" i="102"/>
  <c r="K57" i="102"/>
  <c r="L57" i="102"/>
  <c r="U57" i="102"/>
  <c r="V57" i="102"/>
  <c r="Y57" i="102"/>
  <c r="Z57" i="102"/>
  <c r="H50" i="102"/>
  <c r="P50" i="102"/>
  <c r="H45" i="102"/>
  <c r="P45" i="102"/>
  <c r="H46" i="102"/>
  <c r="P46" i="102"/>
  <c r="D47" i="102"/>
  <c r="F47" i="102"/>
  <c r="L47" i="102"/>
  <c r="N47" i="102"/>
  <c r="U47" i="102"/>
  <c r="W47" i="102"/>
  <c r="Y47" i="102"/>
  <c r="H40" i="102"/>
  <c r="P40" i="102"/>
  <c r="H41" i="102"/>
  <c r="N41" i="102" s="1"/>
  <c r="D42" i="102"/>
  <c r="F42" i="102"/>
  <c r="L42" i="102"/>
  <c r="U42" i="102"/>
  <c r="W42" i="102"/>
  <c r="Y42" i="102"/>
  <c r="H29" i="102"/>
  <c r="H17" i="102"/>
  <c r="N17" i="102" s="1"/>
  <c r="N19" i="102" s="1"/>
  <c r="F18" i="102"/>
  <c r="F19" i="102" s="1"/>
  <c r="D19" i="102"/>
  <c r="W19" i="102"/>
  <c r="H20" i="102"/>
  <c r="P20" i="102"/>
  <c r="P22" i="102" s="1"/>
  <c r="F21" i="102"/>
  <c r="H21" i="102" s="1"/>
  <c r="D22" i="102"/>
  <c r="N22" i="102"/>
  <c r="W22" i="102"/>
  <c r="H23" i="102"/>
  <c r="P23" i="102"/>
  <c r="H24" i="102"/>
  <c r="P24" i="102"/>
  <c r="H25" i="102"/>
  <c r="P25" i="102"/>
  <c r="H26" i="102"/>
  <c r="P26" i="102"/>
  <c r="H32" i="102"/>
  <c r="P32" i="102"/>
  <c r="H11" i="102"/>
  <c r="P11" i="102"/>
  <c r="H12" i="102"/>
  <c r="P12" i="102"/>
  <c r="D13" i="102"/>
  <c r="F13" i="102"/>
  <c r="L13" i="102"/>
  <c r="N13" i="102"/>
  <c r="U13" i="102"/>
  <c r="W13" i="102"/>
  <c r="Y13" i="102"/>
  <c r="A3" i="102"/>
  <c r="Q12" i="21"/>
  <c r="Q41" i="6"/>
  <c r="Q35" i="6"/>
  <c r="Q33" i="6"/>
  <c r="Q29" i="6"/>
  <c r="Q27" i="6"/>
  <c r="Q21" i="6"/>
  <c r="Q19" i="6"/>
  <c r="Q17" i="6"/>
  <c r="Q15" i="6"/>
  <c r="S20" i="102" l="1"/>
  <c r="S22" i="102" s="1"/>
  <c r="H18" i="102"/>
  <c r="H19" i="102" s="1"/>
  <c r="P36" i="102"/>
  <c r="H22" i="102"/>
  <c r="S45" i="102"/>
  <c r="AA45" i="102" s="1"/>
  <c r="S12" i="102"/>
  <c r="AA12" i="102" s="1"/>
  <c r="P17" i="102"/>
  <c r="P19" i="102" s="1"/>
  <c r="P27" i="102" s="1"/>
  <c r="S50" i="102"/>
  <c r="AA50" i="102" s="1"/>
  <c r="N27" i="102"/>
  <c r="H36" i="102"/>
  <c r="W27" i="102"/>
  <c r="W59" i="102" s="1"/>
  <c r="W61" i="102" s="1"/>
  <c r="W63" i="102" s="1"/>
  <c r="S55" i="102"/>
  <c r="AA55" i="102" s="1"/>
  <c r="N36" i="102"/>
  <c r="D27" i="102"/>
  <c r="D59" i="102" s="1"/>
  <c r="D61" i="102" s="1"/>
  <c r="S32" i="102"/>
  <c r="S62" i="102"/>
  <c r="AA62" i="102" s="1"/>
  <c r="S35" i="102"/>
  <c r="AA35" i="102" s="1"/>
  <c r="S34" i="102"/>
  <c r="AA34" i="102" s="1"/>
  <c r="S23" i="102"/>
  <c r="AA23" i="102" s="1"/>
  <c r="S40" i="102"/>
  <c r="AA40" i="102" s="1"/>
  <c r="S26" i="102"/>
  <c r="AA26" i="102" s="1"/>
  <c r="S24" i="102"/>
  <c r="AA24" i="102" s="1"/>
  <c r="S52" i="102"/>
  <c r="AA52" i="102" s="1"/>
  <c r="P13" i="102"/>
  <c r="P47" i="102"/>
  <c r="S46" i="102"/>
  <c r="AA46" i="102" s="1"/>
  <c r="S11" i="102"/>
  <c r="S25" i="102"/>
  <c r="AA25" i="102" s="1"/>
  <c r="H56" i="102"/>
  <c r="H57" i="102" s="1"/>
  <c r="H42" i="102"/>
  <c r="N42" i="102"/>
  <c r="P41" i="102"/>
  <c r="H13" i="102"/>
  <c r="F22" i="102"/>
  <c r="H47" i="102"/>
  <c r="N29" i="102"/>
  <c r="D63" i="102" l="1"/>
  <c r="H27" i="102"/>
  <c r="H59" i="102" s="1"/>
  <c r="AA20" i="102"/>
  <c r="AA22" i="102" s="1"/>
  <c r="S13" i="102"/>
  <c r="AA47" i="102"/>
  <c r="N59" i="102"/>
  <c r="N61" i="102" s="1"/>
  <c r="S17" i="102"/>
  <c r="AA17" i="102" s="1"/>
  <c r="AA19" i="102" s="1"/>
  <c r="AA32" i="102"/>
  <c r="AA36" i="102" s="1"/>
  <c r="S36" i="102"/>
  <c r="F27" i="102"/>
  <c r="F59" i="102" s="1"/>
  <c r="F61" i="102" s="1"/>
  <c r="F63" i="102" s="1"/>
  <c r="AA11" i="102"/>
  <c r="AA13" i="102" s="1"/>
  <c r="S56" i="102"/>
  <c r="S57" i="102" s="1"/>
  <c r="S47" i="102"/>
  <c r="P42" i="102"/>
  <c r="S41" i="102"/>
  <c r="P29" i="102"/>
  <c r="P59" i="102" l="1"/>
  <c r="S19" i="102"/>
  <c r="S27" i="102" s="1"/>
  <c r="AA27" i="102"/>
  <c r="H61" i="102"/>
  <c r="H63" i="102" s="1"/>
  <c r="AA56" i="102"/>
  <c r="AA57" i="102" s="1"/>
  <c r="S42" i="102"/>
  <c r="AA41" i="102"/>
  <c r="AA42" i="102" s="1"/>
  <c r="N63" i="102"/>
  <c r="S29" i="102"/>
  <c r="S59" i="102" l="1"/>
  <c r="S61" i="102" s="1"/>
  <c r="S63" i="102" s="1"/>
  <c r="AA29" i="102"/>
  <c r="I184" i="38"/>
  <c r="I179" i="38"/>
  <c r="Q193" i="38"/>
  <c r="Q127" i="38"/>
  <c r="AA59" i="102" l="1"/>
  <c r="AA61" i="102" s="1"/>
  <c r="AA63" i="102" s="1"/>
  <c r="E70" i="2" l="1"/>
  <c r="G66" i="2"/>
  <c r="O41" i="2"/>
  <c r="O36" i="2"/>
  <c r="O31" i="2"/>
  <c r="O26" i="2"/>
  <c r="E26" i="2"/>
  <c r="O15" i="2"/>
  <c r="E15" i="2"/>
  <c r="A13" i="2"/>
  <c r="A14" i="2" s="1"/>
  <c r="A15" i="2" s="1"/>
  <c r="M49" i="2"/>
  <c r="N49" i="2"/>
  <c r="V49" i="2"/>
  <c r="W49" i="2"/>
  <c r="Z49" i="2"/>
  <c r="AA49" i="2"/>
  <c r="I39" i="2"/>
  <c r="Q39" i="2"/>
  <c r="I40" i="2"/>
  <c r="Q40" i="2"/>
  <c r="E41" i="2"/>
  <c r="G41" i="2"/>
  <c r="X41" i="2"/>
  <c r="I34" i="2"/>
  <c r="Q34" i="2"/>
  <c r="I35" i="2"/>
  <c r="Q35" i="2"/>
  <c r="E36" i="2"/>
  <c r="G36" i="2"/>
  <c r="X36" i="2"/>
  <c r="I29" i="2"/>
  <c r="Q29" i="2"/>
  <c r="I30" i="2"/>
  <c r="Q30" i="2"/>
  <c r="E31" i="2"/>
  <c r="G31" i="2"/>
  <c r="X31" i="2"/>
  <c r="G26" i="2"/>
  <c r="I24" i="2"/>
  <c r="Q24" i="2"/>
  <c r="I25" i="2"/>
  <c r="Q25" i="2"/>
  <c r="X26" i="2"/>
  <c r="X15" i="2"/>
  <c r="Q14" i="2"/>
  <c r="Q13" i="2"/>
  <c r="Q19" i="2"/>
  <c r="I14" i="2"/>
  <c r="I13" i="2"/>
  <c r="I21" i="2"/>
  <c r="I19" i="2"/>
  <c r="G15" i="2"/>
  <c r="V39" i="22"/>
  <c r="G39" i="22"/>
  <c r="T39" i="2" l="1"/>
  <c r="AB39" i="2" s="1"/>
  <c r="T35" i="2"/>
  <c r="AB35" i="2" s="1"/>
  <c r="G49" i="2"/>
  <c r="T13" i="2"/>
  <c r="AB13" i="2" s="1"/>
  <c r="T34" i="2"/>
  <c r="AB34" i="2" s="1"/>
  <c r="I31" i="2"/>
  <c r="T40" i="2"/>
  <c r="AB40" i="2" s="1"/>
  <c r="T24" i="2"/>
  <c r="AB24" i="2" s="1"/>
  <c r="Q15" i="2"/>
  <c r="T14" i="2"/>
  <c r="AB14" i="2" s="1"/>
  <c r="T30" i="2"/>
  <c r="AB30" i="2" s="1"/>
  <c r="I36" i="2"/>
  <c r="Q36" i="2"/>
  <c r="T29" i="2"/>
  <c r="AB29" i="2" s="1"/>
  <c r="X49" i="2"/>
  <c r="T25" i="2"/>
  <c r="AB25" i="2" s="1"/>
  <c r="Q26" i="2"/>
  <c r="E49" i="2"/>
  <c r="E72" i="2" s="1"/>
  <c r="A19" i="2"/>
  <c r="A21" i="2" s="1"/>
  <c r="A24" i="2" s="1"/>
  <c r="A25" i="2" s="1"/>
  <c r="A26" i="2" s="1"/>
  <c r="I15" i="2"/>
  <c r="T19" i="2"/>
  <c r="Q41" i="2"/>
  <c r="I41" i="2"/>
  <c r="I26" i="2"/>
  <c r="Q31" i="2"/>
  <c r="O49" i="2"/>
  <c r="X38" i="26"/>
  <c r="O38" i="26"/>
  <c r="G38" i="26"/>
  <c r="G141" i="38"/>
  <c r="AD141" i="38"/>
  <c r="V140" i="38"/>
  <c r="M141" i="38"/>
  <c r="K141" i="38"/>
  <c r="I141" i="38"/>
  <c r="AB163" i="38"/>
  <c r="X163" i="38"/>
  <c r="O163" i="38"/>
  <c r="AB150" i="38"/>
  <c r="X150" i="38"/>
  <c r="O150" i="38"/>
  <c r="S159" i="38"/>
  <c r="S161" i="38" s="1"/>
  <c r="K159" i="38"/>
  <c r="K161" i="38" s="1"/>
  <c r="S154" i="38"/>
  <c r="S156" i="38" s="1"/>
  <c r="K154" i="38"/>
  <c r="K156" i="38" s="1"/>
  <c r="Z161" i="38"/>
  <c r="Q161" i="38"/>
  <c r="I161" i="38"/>
  <c r="G161" i="38"/>
  <c r="Z156" i="38"/>
  <c r="Q156" i="38"/>
  <c r="I156" i="38"/>
  <c r="G156" i="38"/>
  <c r="Z148" i="38"/>
  <c r="Z150" i="38" s="1"/>
  <c r="Q148" i="38"/>
  <c r="Q150" i="38" s="1"/>
  <c r="I148" i="38"/>
  <c r="I150" i="38" s="1"/>
  <c r="G148" i="38"/>
  <c r="G150" i="38" s="1"/>
  <c r="S146" i="38"/>
  <c r="S148" i="38" s="1"/>
  <c r="S150" i="38" s="1"/>
  <c r="K146" i="38"/>
  <c r="AB41" i="2" l="1"/>
  <c r="AB26" i="2"/>
  <c r="T41" i="2"/>
  <c r="AB36" i="2"/>
  <c r="T36" i="2"/>
  <c r="T15" i="2"/>
  <c r="AB31" i="2"/>
  <c r="Q163" i="38"/>
  <c r="V146" i="38"/>
  <c r="AD146" i="38" s="1"/>
  <c r="AD148" i="38" s="1"/>
  <c r="AD150" i="38" s="1"/>
  <c r="T26" i="2"/>
  <c r="AB15" i="2"/>
  <c r="T31" i="2"/>
  <c r="K163" i="38"/>
  <c r="Z163" i="38"/>
  <c r="G163" i="38"/>
  <c r="I163" i="38"/>
  <c r="V154" i="38"/>
  <c r="AD154" i="38" s="1"/>
  <c r="AD156" i="38" s="1"/>
  <c r="A29" i="2"/>
  <c r="A30" i="2" s="1"/>
  <c r="A31" i="2" s="1"/>
  <c r="S163" i="38"/>
  <c r="V159" i="38"/>
  <c r="V161" i="38" s="1"/>
  <c r="K148" i="38"/>
  <c r="K150" i="38" s="1"/>
  <c r="R49" i="24"/>
  <c r="Q243" i="38"/>
  <c r="Q240" i="38"/>
  <c r="Q196" i="38"/>
  <c r="Q179" i="38"/>
  <c r="Q37" i="38"/>
  <c r="Q37" i="12"/>
  <c r="Q31" i="12"/>
  <c r="Q29" i="12"/>
  <c r="Q27" i="12"/>
  <c r="Q20" i="12"/>
  <c r="Q18" i="12"/>
  <c r="Q16" i="12"/>
  <c r="I245" i="38"/>
  <c r="I253" i="38"/>
  <c r="I240" i="38"/>
  <c r="I226" i="38"/>
  <c r="I215" i="38"/>
  <c r="I176" i="38"/>
  <c r="I37" i="38"/>
  <c r="V148" i="38" l="1"/>
  <c r="V150" i="38" s="1"/>
  <c r="V156" i="38"/>
  <c r="V163" i="38" s="1"/>
  <c r="AD159" i="38"/>
  <c r="AD161" i="38" s="1"/>
  <c r="AD163" i="38" s="1"/>
  <c r="A34" i="2"/>
  <c r="A35" i="2" s="1"/>
  <c r="A36" i="2" s="1"/>
  <c r="E29" i="12"/>
  <c r="Q36" i="21"/>
  <c r="Q34" i="21"/>
  <c r="Q32" i="21"/>
  <c r="Q30" i="21"/>
  <c r="Q28" i="21"/>
  <c r="Q26" i="21"/>
  <c r="Q24" i="21"/>
  <c r="Q22" i="21"/>
  <c r="Q20" i="21"/>
  <c r="Q18" i="21"/>
  <c r="Q16" i="21"/>
  <c r="Q14" i="21"/>
  <c r="M39" i="21"/>
  <c r="I244" i="38"/>
  <c r="I243" i="38"/>
  <c r="I194" i="38"/>
  <c r="I193" i="38"/>
  <c r="I180" i="38"/>
  <c r="I127" i="38"/>
  <c r="Q39" i="21" l="1"/>
  <c r="A39" i="2"/>
  <c r="A40" i="2" s="1"/>
  <c r="A41" i="2" s="1"/>
  <c r="A43" i="2" s="1"/>
  <c r="A45" i="2" s="1"/>
  <c r="A47" i="2" s="1"/>
  <c r="A49" i="2" s="1"/>
  <c r="F39" i="27"/>
  <c r="P25" i="24"/>
  <c r="P31" i="24"/>
  <c r="O34" i="13"/>
  <c r="I250" i="38"/>
  <c r="I242" i="38"/>
  <c r="A54" i="2" l="1"/>
  <c r="A56" i="2" s="1"/>
  <c r="A58" i="2" s="1"/>
  <c r="A60" i="2" s="1"/>
  <c r="A62" i="2" s="1"/>
  <c r="A64" i="2" s="1"/>
  <c r="A66" i="2" s="1"/>
  <c r="A68" i="2" s="1"/>
  <c r="A70" i="2" s="1"/>
  <c r="A72" i="2" s="1"/>
  <c r="P47" i="24"/>
  <c r="O26" i="7"/>
  <c r="P45" i="24" l="1"/>
  <c r="F45" i="24"/>
  <c r="G44" i="13" l="1"/>
  <c r="G34" i="13"/>
  <c r="G54" i="13"/>
  <c r="J49" i="24" l="1"/>
  <c r="R41" i="24"/>
  <c r="J41" i="24"/>
  <c r="R33" i="24"/>
  <c r="R31" i="24"/>
  <c r="J33" i="24"/>
  <c r="J31" i="24"/>
  <c r="R27" i="24"/>
  <c r="J27" i="24"/>
  <c r="R29" i="24"/>
  <c r="J29" i="24"/>
  <c r="Q54" i="13"/>
  <c r="Q14" i="13"/>
  <c r="I54" i="13"/>
  <c r="I32" i="13"/>
  <c r="E52" i="13"/>
  <c r="U49" i="24" l="1"/>
  <c r="AC49" i="24" s="1"/>
  <c r="U41" i="24"/>
  <c r="AC41" i="24" s="1"/>
  <c r="U33" i="24"/>
  <c r="AC33" i="24" s="1"/>
  <c r="U31" i="24"/>
  <c r="AC31" i="24" s="1"/>
  <c r="U27" i="24"/>
  <c r="AC27" i="24" s="1"/>
  <c r="U29" i="24"/>
  <c r="T54" i="13"/>
  <c r="AB54" i="13" s="1"/>
  <c r="AC29" i="24" l="1"/>
  <c r="R39" i="27" l="1"/>
  <c r="T39" i="27"/>
  <c r="Q39" i="27"/>
  <c r="N39" i="27"/>
  <c r="O39" i="27"/>
  <c r="M39" i="27"/>
  <c r="K39" i="27"/>
  <c r="J39" i="27"/>
  <c r="I39" i="27"/>
  <c r="G39" i="27"/>
  <c r="E39" i="27"/>
  <c r="T37" i="12" l="1"/>
  <c r="AB37" i="12" l="1"/>
  <c r="Q19" i="45" l="1"/>
  <c r="X28" i="45" l="1"/>
  <c r="O28" i="45"/>
  <c r="G28" i="45"/>
  <c r="E28" i="45"/>
  <c r="X21" i="45"/>
  <c r="O21" i="45"/>
  <c r="G21" i="45"/>
  <c r="E21" i="45"/>
  <c r="Q24" i="45"/>
  <c r="Q28" i="45" s="1"/>
  <c r="R15" i="24"/>
  <c r="R53" i="24"/>
  <c r="E30" i="45" l="1"/>
  <c r="Q50" i="13"/>
  <c r="Q44" i="13"/>
  <c r="Q43" i="13"/>
  <c r="Q42" i="13"/>
  <c r="Q41" i="13"/>
  <c r="Q40" i="13"/>
  <c r="Q34" i="13"/>
  <c r="Q33" i="13"/>
  <c r="Q32" i="13"/>
  <c r="Q26" i="13"/>
  <c r="Q25" i="13"/>
  <c r="Q24" i="13"/>
  <c r="Q23" i="13"/>
  <c r="Q20" i="13"/>
  <c r="Q19" i="13"/>
  <c r="Q18" i="13"/>
  <c r="Q17" i="13"/>
  <c r="Q16" i="13"/>
  <c r="R43" i="24" l="1"/>
  <c r="R45" i="24"/>
  <c r="J45" i="24"/>
  <c r="U45" i="24" l="1"/>
  <c r="AC45" i="24" s="1"/>
  <c r="Q15" i="45"/>
  <c r="R21" i="24"/>
  <c r="J21" i="24"/>
  <c r="U21" i="24" l="1"/>
  <c r="AC21" i="24" s="1"/>
  <c r="S239" i="38" l="1"/>
  <c r="Q17" i="45" l="1"/>
  <c r="Q21" i="45" l="1"/>
  <c r="I19" i="45"/>
  <c r="R25" i="24"/>
  <c r="J25" i="24"/>
  <c r="U25" i="24" l="1"/>
  <c r="AC25" i="24" s="1"/>
  <c r="T19" i="45"/>
  <c r="AB19" i="45" s="1"/>
  <c r="I66" i="2" l="1"/>
  <c r="T66" i="2" s="1"/>
  <c r="Q11" i="26" l="1"/>
  <c r="Q13" i="26"/>
  <c r="Q15" i="26"/>
  <c r="Q17" i="26"/>
  <c r="Q19" i="26"/>
  <c r="Q21" i="26"/>
  <c r="Q23" i="26"/>
  <c r="Q25" i="26"/>
  <c r="Q27" i="26"/>
  <c r="Q29" i="26"/>
  <c r="Q31" i="26"/>
  <c r="Q33" i="26"/>
  <c r="Q35" i="26"/>
  <c r="Q38" i="26" l="1"/>
  <c r="A239" i="38"/>
  <c r="A240" i="38" s="1"/>
  <c r="A241" i="38" s="1"/>
  <c r="A242" i="38" s="1"/>
  <c r="A243" i="38" s="1"/>
  <c r="A244" i="38" s="1"/>
  <c r="A245" i="38" s="1"/>
  <c r="A246" i="38" s="1"/>
  <c r="A247" i="38" s="1"/>
  <c r="A248" i="38" s="1"/>
  <c r="A249" i="38" s="1"/>
  <c r="A250" i="38" s="1"/>
  <c r="A251" i="38" s="1"/>
  <c r="A252" i="38" s="1"/>
  <c r="A253" i="38" s="1"/>
  <c r="A254" i="38" s="1"/>
  <c r="A256" i="38" s="1"/>
  <c r="A259" i="38" s="1"/>
  <c r="A261" i="38" s="1"/>
  <c r="A264" i="38" s="1"/>
  <c r="A267" i="38" s="1"/>
  <c r="K239" i="38" l="1"/>
  <c r="V239" i="38" s="1"/>
  <c r="AD239" i="38" s="1"/>
  <c r="Q16" i="7" l="1"/>
  <c r="Q14" i="7" l="1"/>
  <c r="Q22" i="7" l="1"/>
  <c r="Q20" i="7"/>
  <c r="Q18" i="7"/>
  <c r="E33" i="12"/>
  <c r="E22" i="12"/>
  <c r="V28" i="45"/>
  <c r="W28" i="45"/>
  <c r="Y28" i="45"/>
  <c r="Z28" i="45"/>
  <c r="V21" i="45"/>
  <c r="W21" i="45"/>
  <c r="Y21" i="45"/>
  <c r="Z21" i="45"/>
  <c r="I26" i="45"/>
  <c r="I15" i="45"/>
  <c r="I24" i="45"/>
  <c r="I17" i="45"/>
  <c r="E35" i="12" l="1"/>
  <c r="I28" i="45"/>
  <c r="I21" i="45"/>
  <c r="T24" i="45"/>
  <c r="T15" i="45"/>
  <c r="T26" i="45"/>
  <c r="AB26" i="45" s="1"/>
  <c r="O30" i="45"/>
  <c r="X30" i="45"/>
  <c r="G30" i="45"/>
  <c r="T17" i="45"/>
  <c r="T28" i="45" l="1"/>
  <c r="AB24" i="45"/>
  <c r="AB28" i="45" s="1"/>
  <c r="AB15" i="45"/>
  <c r="T21" i="45"/>
  <c r="Q30" i="45"/>
  <c r="AB17" i="45"/>
  <c r="I30" i="45"/>
  <c r="I12" i="21"/>
  <c r="S12" i="21" l="1"/>
  <c r="AB21" i="45"/>
  <c r="AB30" i="45" s="1"/>
  <c r="T30" i="45"/>
  <c r="F56" i="24"/>
  <c r="J53" i="24"/>
  <c r="U53" i="24" s="1"/>
  <c r="AC53" i="24" s="1"/>
  <c r="I11" i="26"/>
  <c r="AA12" i="21" l="1"/>
  <c r="T11" i="26"/>
  <c r="AB11" i="26" l="1"/>
  <c r="AD211" i="38"/>
  <c r="V210" i="38"/>
  <c r="M211" i="38"/>
  <c r="K211" i="38"/>
  <c r="I211" i="38"/>
  <c r="G121" i="38"/>
  <c r="AD108" i="38"/>
  <c r="V107" i="38"/>
  <c r="M108" i="38"/>
  <c r="K108" i="38"/>
  <c r="I108" i="38"/>
  <c r="G108" i="38"/>
  <c r="S95" i="38"/>
  <c r="K95" i="38"/>
  <c r="AD75" i="38"/>
  <c r="V74" i="38"/>
  <c r="M75" i="38"/>
  <c r="K75" i="38"/>
  <c r="I75" i="38"/>
  <c r="G75" i="38"/>
  <c r="G66" i="38"/>
  <c r="S14" i="38"/>
  <c r="A3" i="38"/>
  <c r="A136" i="38" s="1"/>
  <c r="Q42" i="7"/>
  <c r="I42" i="7"/>
  <c r="I22" i="7"/>
  <c r="Q45" i="2"/>
  <c r="I45" i="2"/>
  <c r="T42" i="7" l="1"/>
  <c r="AB42" i="7" s="1"/>
  <c r="T22" i="7"/>
  <c r="AB22" i="7" s="1"/>
  <c r="V95" i="38"/>
  <c r="AD95" i="38" s="1"/>
  <c r="T45" i="2"/>
  <c r="AB45" i="2" s="1"/>
  <c r="A12" i="98" l="1"/>
  <c r="AA12" i="98"/>
  <c r="Y12" i="98"/>
  <c r="W12" i="98"/>
  <c r="P12" i="98"/>
  <c r="N12" i="98"/>
  <c r="F12" i="98"/>
  <c r="R10" i="98"/>
  <c r="H12" i="98"/>
  <c r="A3" i="98"/>
  <c r="R12" i="98" l="1"/>
  <c r="J10" i="98"/>
  <c r="U10" i="98" l="1"/>
  <c r="J12" i="98"/>
  <c r="U12" i="98" l="1"/>
  <c r="AC10" i="98"/>
  <c r="AC12" i="98" s="1"/>
  <c r="S248" i="38" l="1"/>
  <c r="K248" i="38"/>
  <c r="S247" i="38"/>
  <c r="K247" i="38"/>
  <c r="V248" i="38" l="1"/>
  <c r="V247" i="38"/>
  <c r="S228" i="38"/>
  <c r="K228" i="38" l="1"/>
  <c r="V228" i="38" s="1"/>
  <c r="AD228" i="38" s="1"/>
  <c r="AD248" i="38"/>
  <c r="AD247" i="38"/>
  <c r="Z38" i="26" l="1"/>
  <c r="V38" i="26"/>
  <c r="O261" i="38" l="1"/>
  <c r="O256" i="38"/>
  <c r="O234" i="38"/>
  <c r="O221" i="38"/>
  <c r="O200" i="38"/>
  <c r="O187" i="38"/>
  <c r="O130" i="38"/>
  <c r="O121" i="38"/>
  <c r="O94" i="38"/>
  <c r="O91" i="38"/>
  <c r="O85" i="38"/>
  <c r="O61" i="38"/>
  <c r="O66" i="38" s="1"/>
  <c r="O53" i="38"/>
  <c r="O44" i="38"/>
  <c r="O30" i="38"/>
  <c r="O15" i="38"/>
  <c r="O21" i="38" s="1"/>
  <c r="O55" i="38" l="1"/>
  <c r="O97" i="38"/>
  <c r="O32" i="38"/>
  <c r="O87" i="38"/>
  <c r="O264" i="38"/>
  <c r="O132" i="38"/>
  <c r="O202" i="38"/>
  <c r="O99" i="38" l="1"/>
  <c r="O267" i="38" s="1"/>
  <c r="Z30" i="45" l="1"/>
  <c r="V30" i="45"/>
  <c r="M30" i="45"/>
  <c r="I221" i="38" l="1"/>
  <c r="I256" i="38"/>
  <c r="I261" i="38"/>
  <c r="S216" i="38"/>
  <c r="I121" i="38"/>
  <c r="I130" i="38"/>
  <c r="I200" i="38"/>
  <c r="I53" i="38"/>
  <c r="S83" i="38"/>
  <c r="S82" i="38"/>
  <c r="S63" i="38"/>
  <c r="S16" i="38"/>
  <c r="S15" i="38"/>
  <c r="S253" i="38"/>
  <c r="S252" i="38"/>
  <c r="S251" i="38"/>
  <c r="S250" i="38"/>
  <c r="S246" i="38"/>
  <c r="S231" i="38"/>
  <c r="S227" i="38"/>
  <c r="S117" i="38"/>
  <c r="S116" i="38"/>
  <c r="S94" i="38"/>
  <c r="S91" i="38"/>
  <c r="S64" i="38"/>
  <c r="S61" i="38"/>
  <c r="S60" i="38"/>
  <c r="S259" i="38"/>
  <c r="S254" i="38"/>
  <c r="S249" i="38"/>
  <c r="S245" i="38"/>
  <c r="S244" i="38"/>
  <c r="S243" i="38"/>
  <c r="S240" i="38"/>
  <c r="S238" i="38"/>
  <c r="S230" i="38"/>
  <c r="S229" i="38"/>
  <c r="S226" i="38"/>
  <c r="S225" i="38"/>
  <c r="S219" i="38"/>
  <c r="S218" i="38"/>
  <c r="S217" i="38"/>
  <c r="S215" i="38"/>
  <c r="S198" i="38"/>
  <c r="S197" i="38"/>
  <c r="S196" i="38"/>
  <c r="S195" i="38"/>
  <c r="S194" i="38"/>
  <c r="S193" i="38"/>
  <c r="S192" i="38"/>
  <c r="S191" i="38"/>
  <c r="S190" i="38"/>
  <c r="S185" i="38"/>
  <c r="S184" i="38"/>
  <c r="S183" i="38"/>
  <c r="S182" i="38"/>
  <c r="S181" i="38"/>
  <c r="S180" i="38"/>
  <c r="S179" i="38"/>
  <c r="S178" i="38"/>
  <c r="S177" i="38"/>
  <c r="S176" i="38"/>
  <c r="S128" i="38"/>
  <c r="S127" i="38"/>
  <c r="S126" i="38"/>
  <c r="S124" i="38"/>
  <c r="S119" i="38"/>
  <c r="S118" i="38"/>
  <c r="S115" i="38"/>
  <c r="S114" i="38"/>
  <c r="S113" i="38"/>
  <c r="S112" i="38"/>
  <c r="S92" i="38"/>
  <c r="S81" i="38"/>
  <c r="S80" i="38"/>
  <c r="S62" i="38"/>
  <c r="S59" i="38"/>
  <c r="S51" i="38"/>
  <c r="S50" i="38"/>
  <c r="S49" i="38"/>
  <c r="S48" i="38"/>
  <c r="S47" i="38"/>
  <c r="S42" i="38"/>
  <c r="S41" i="38"/>
  <c r="S40" i="38"/>
  <c r="S39" i="38"/>
  <c r="S38" i="38"/>
  <c r="S37" i="38"/>
  <c r="S36" i="38"/>
  <c r="S26" i="38"/>
  <c r="S25" i="38"/>
  <c r="S24" i="38"/>
  <c r="S19" i="38"/>
  <c r="S18" i="38"/>
  <c r="S17" i="38"/>
  <c r="I132" i="38" l="1"/>
  <c r="I234" i="38"/>
  <c r="I187" i="38"/>
  <c r="I202" i="38" s="1"/>
  <c r="I44" i="38"/>
  <c r="I55" i="38" s="1"/>
  <c r="I264" i="38"/>
  <c r="R39" i="24" l="1"/>
  <c r="J39" i="24"/>
  <c r="AB15" i="17"/>
  <c r="Z15" i="17"/>
  <c r="X15" i="17"/>
  <c r="Q15" i="17"/>
  <c r="O15" i="17"/>
  <c r="I15" i="17"/>
  <c r="G15" i="17"/>
  <c r="U39" i="24" l="1"/>
  <c r="AC39" i="24" s="1"/>
  <c r="O23" i="6" l="1"/>
  <c r="O46" i="13"/>
  <c r="O36" i="13"/>
  <c r="O22" i="13"/>
  <c r="O28" i="13" s="1"/>
  <c r="G46" i="13"/>
  <c r="G36" i="13"/>
  <c r="G22" i="13"/>
  <c r="G28" i="13" s="1"/>
  <c r="O22" i="12"/>
  <c r="S13" i="17" l="1"/>
  <c r="S15" i="17" s="1"/>
  <c r="Q46" i="7"/>
  <c r="Q40" i="7"/>
  <c r="Q38" i="7"/>
  <c r="Q36" i="7"/>
  <c r="Q34" i="7"/>
  <c r="Q26" i="7"/>
  <c r="Q68" i="2"/>
  <c r="Q64" i="2"/>
  <c r="Q62" i="2"/>
  <c r="Q60" i="2"/>
  <c r="Q58" i="2"/>
  <c r="Q56" i="2"/>
  <c r="Q54" i="2"/>
  <c r="Q47" i="2"/>
  <c r="Q43" i="2"/>
  <c r="Q21" i="2"/>
  <c r="Q49" i="2" l="1"/>
  <c r="I40" i="7"/>
  <c r="T40" i="7" s="1"/>
  <c r="AB40" i="7" s="1"/>
  <c r="I20" i="7"/>
  <c r="T20" i="7" s="1"/>
  <c r="E28" i="7"/>
  <c r="AB20" i="7" l="1"/>
  <c r="K246" i="38" l="1"/>
  <c r="V246" i="38" s="1"/>
  <c r="AD246" i="38" l="1"/>
  <c r="J43" i="24" l="1"/>
  <c r="U43" i="24" l="1"/>
  <c r="AC43" i="24" s="1"/>
  <c r="E37" i="6" l="1"/>
  <c r="E23" i="6"/>
  <c r="E39" i="6" l="1"/>
  <c r="E43" i="6" s="1"/>
  <c r="G97" i="38" l="1"/>
  <c r="Z97" i="38"/>
  <c r="AB97" i="38"/>
  <c r="K90" i="38" l="1"/>
  <c r="S90" i="38" l="1"/>
  <c r="V90" i="38" s="1"/>
  <c r="X97" i="38" l="1"/>
  <c r="AD90" i="38"/>
  <c r="K60" i="38"/>
  <c r="V60" i="38" s="1"/>
  <c r="AD60" i="38" l="1"/>
  <c r="Q85" i="38" l="1"/>
  <c r="A103" i="38" l="1"/>
  <c r="A70" i="38" l="1"/>
  <c r="A206" i="38"/>
  <c r="AA56" i="24" l="1"/>
  <c r="W56" i="24"/>
  <c r="N56" i="24"/>
  <c r="H56" i="24"/>
  <c r="R47" i="24"/>
  <c r="J47" i="24"/>
  <c r="R23" i="24"/>
  <c r="J23" i="24"/>
  <c r="R19" i="24"/>
  <c r="J19" i="24"/>
  <c r="J15" i="24"/>
  <c r="U15" i="24" s="1"/>
  <c r="Y39" i="21"/>
  <c r="W39" i="21"/>
  <c r="U39" i="21"/>
  <c r="G39" i="21"/>
  <c r="U38" i="26"/>
  <c r="M38" i="26"/>
  <c r="I35" i="26"/>
  <c r="I33" i="26"/>
  <c r="I31" i="26"/>
  <c r="I29" i="26"/>
  <c r="I27" i="26"/>
  <c r="I25" i="26"/>
  <c r="I23" i="26"/>
  <c r="I21" i="26"/>
  <c r="I19" i="26"/>
  <c r="I17" i="26"/>
  <c r="I15" i="26"/>
  <c r="I13" i="26"/>
  <c r="Z39" i="22"/>
  <c r="X39" i="22"/>
  <c r="M39" i="22"/>
  <c r="I36" i="22"/>
  <c r="O36" i="22" s="1"/>
  <c r="I34" i="22"/>
  <c r="O34" i="22" s="1"/>
  <c r="I32" i="22"/>
  <c r="O32" i="22" s="1"/>
  <c r="I30" i="22"/>
  <c r="O30" i="22" s="1"/>
  <c r="I28" i="22"/>
  <c r="O28" i="22" s="1"/>
  <c r="I26" i="22"/>
  <c r="O26" i="22" s="1"/>
  <c r="I24" i="22"/>
  <c r="O24" i="22" s="1"/>
  <c r="I22" i="22"/>
  <c r="O22" i="22" s="1"/>
  <c r="I20" i="22"/>
  <c r="O20" i="22" s="1"/>
  <c r="I18" i="22"/>
  <c r="O18" i="22" s="1"/>
  <c r="I16" i="22"/>
  <c r="O16" i="22" s="1"/>
  <c r="I14" i="22"/>
  <c r="O14" i="22" s="1"/>
  <c r="I12" i="22"/>
  <c r="Z37" i="6"/>
  <c r="X37" i="6"/>
  <c r="V37" i="6"/>
  <c r="M37" i="6"/>
  <c r="I29" i="6"/>
  <c r="I27" i="6"/>
  <c r="I35" i="6"/>
  <c r="I33" i="6"/>
  <c r="I31" i="6"/>
  <c r="O31" i="6" s="1"/>
  <c r="Q31" i="6" s="1"/>
  <c r="Z23" i="6"/>
  <c r="X23" i="6"/>
  <c r="V23" i="6"/>
  <c r="M23" i="6"/>
  <c r="I21" i="6"/>
  <c r="I19" i="6"/>
  <c r="I17" i="6"/>
  <c r="I15" i="6"/>
  <c r="T15" i="6" s="1"/>
  <c r="K13" i="17"/>
  <c r="K15" i="17" s="1"/>
  <c r="M36" i="13"/>
  <c r="Z46" i="13"/>
  <c r="X46" i="13"/>
  <c r="V46" i="13"/>
  <c r="M46" i="13"/>
  <c r="I26" i="13"/>
  <c r="I24" i="13"/>
  <c r="Z52" i="13"/>
  <c r="X52" i="13"/>
  <c r="V52" i="13"/>
  <c r="O52" i="13"/>
  <c r="O56" i="13" s="1"/>
  <c r="M52" i="13"/>
  <c r="I50" i="13"/>
  <c r="I52" i="13" s="1"/>
  <c r="I44" i="13"/>
  <c r="T44" i="13" s="1"/>
  <c r="AB44" i="13" s="1"/>
  <c r="I34" i="13"/>
  <c r="I20" i="13"/>
  <c r="Z22" i="13"/>
  <c r="Z28" i="13" s="1"/>
  <c r="V22" i="13"/>
  <c r="V28" i="13" s="1"/>
  <c r="M22" i="13"/>
  <c r="Q22" i="13" s="1"/>
  <c r="I42" i="13"/>
  <c r="I40" i="13"/>
  <c r="I18" i="13"/>
  <c r="I16" i="13"/>
  <c r="I14" i="13"/>
  <c r="T14" i="13" s="1"/>
  <c r="AB14" i="13" s="1"/>
  <c r="Z22" i="12"/>
  <c r="X22" i="12"/>
  <c r="V22" i="12"/>
  <c r="M22" i="12"/>
  <c r="Z33" i="12"/>
  <c r="X33" i="12"/>
  <c r="V33" i="12"/>
  <c r="M33" i="12"/>
  <c r="AB261" i="38"/>
  <c r="Z261" i="38"/>
  <c r="X261" i="38"/>
  <c r="AB256" i="38"/>
  <c r="Z256" i="38"/>
  <c r="X256" i="38"/>
  <c r="AB234" i="38"/>
  <c r="Z234" i="38"/>
  <c r="X234" i="38"/>
  <c r="AB221" i="38"/>
  <c r="Z221" i="38"/>
  <c r="X221" i="38"/>
  <c r="AB200" i="38"/>
  <c r="Z200" i="38"/>
  <c r="X200" i="38"/>
  <c r="AB187" i="38"/>
  <c r="Z187" i="38"/>
  <c r="X187" i="38"/>
  <c r="AB130" i="38"/>
  <c r="Z130" i="38"/>
  <c r="X130" i="38"/>
  <c r="AB121" i="38"/>
  <c r="Z121" i="38"/>
  <c r="AB85" i="38"/>
  <c r="Z85" i="38"/>
  <c r="X85" i="38"/>
  <c r="AB66" i="38"/>
  <c r="Z66" i="38"/>
  <c r="X66" i="38"/>
  <c r="AB53" i="38"/>
  <c r="Z53" i="38"/>
  <c r="X53" i="38"/>
  <c r="AB44" i="38"/>
  <c r="Z44" i="38"/>
  <c r="X44" i="38"/>
  <c r="AB30" i="38"/>
  <c r="X30" i="38"/>
  <c r="AB21" i="38"/>
  <c r="X21" i="38"/>
  <c r="Z48" i="7"/>
  <c r="X48" i="7"/>
  <c r="V48" i="7"/>
  <c r="M48" i="7"/>
  <c r="G48" i="7"/>
  <c r="I46" i="7"/>
  <c r="I44" i="7"/>
  <c r="I38" i="7"/>
  <c r="I36" i="7"/>
  <c r="I34" i="7"/>
  <c r="Z28" i="7"/>
  <c r="X28" i="7"/>
  <c r="V28" i="7"/>
  <c r="M28" i="7"/>
  <c r="I14" i="7"/>
  <c r="T14" i="7" s="1"/>
  <c r="AB14" i="7" s="1"/>
  <c r="I26" i="7"/>
  <c r="T26" i="7" s="1"/>
  <c r="I24" i="7"/>
  <c r="O24" i="7" s="1"/>
  <c r="I18" i="7"/>
  <c r="T18" i="7" s="1"/>
  <c r="I16" i="7"/>
  <c r="T16" i="7" s="1"/>
  <c r="Z70" i="2"/>
  <c r="X70" i="2"/>
  <c r="V70" i="2"/>
  <c r="I68" i="2"/>
  <c r="I64" i="2"/>
  <c r="I62" i="2"/>
  <c r="I60" i="2"/>
  <c r="T60" i="2" s="1"/>
  <c r="AB60" i="2" s="1"/>
  <c r="I58" i="2"/>
  <c r="I56" i="2"/>
  <c r="I54" i="2"/>
  <c r="I47" i="2"/>
  <c r="T47" i="2" s="1"/>
  <c r="AB47" i="2" s="1"/>
  <c r="I43" i="2"/>
  <c r="T21" i="2"/>
  <c r="O37" i="6" l="1"/>
  <c r="O39" i="6" s="1"/>
  <c r="O43" i="6" s="1"/>
  <c r="I49" i="2"/>
  <c r="I39" i="22"/>
  <c r="O12" i="22"/>
  <c r="O39" i="22" s="1"/>
  <c r="I38" i="26"/>
  <c r="AB21" i="2"/>
  <c r="O44" i="7"/>
  <c r="Q24" i="7"/>
  <c r="I46" i="13"/>
  <c r="Z35" i="12"/>
  <c r="X35" i="12"/>
  <c r="X39" i="12" s="1"/>
  <c r="V35" i="12"/>
  <c r="M35" i="12"/>
  <c r="T17" i="26"/>
  <c r="AB17" i="26" s="1"/>
  <c r="T33" i="26"/>
  <c r="AB33" i="26" s="1"/>
  <c r="T15" i="26"/>
  <c r="AB15" i="26" s="1"/>
  <c r="T19" i="26"/>
  <c r="AB19" i="26" s="1"/>
  <c r="T35" i="26"/>
  <c r="AB35" i="26" s="1"/>
  <c r="T31" i="26"/>
  <c r="AB31" i="26" s="1"/>
  <c r="T21" i="26"/>
  <c r="AB21" i="26" s="1"/>
  <c r="T23" i="26"/>
  <c r="AB23" i="26" s="1"/>
  <c r="T25" i="26"/>
  <c r="AB25" i="26" s="1"/>
  <c r="T27" i="26"/>
  <c r="AB27" i="26" s="1"/>
  <c r="T13" i="26"/>
  <c r="T29" i="26"/>
  <c r="AB29" i="26" s="1"/>
  <c r="X72" i="2"/>
  <c r="V72" i="2"/>
  <c r="X39" i="6"/>
  <c r="X43" i="6" s="1"/>
  <c r="Z72" i="2"/>
  <c r="Q46" i="13"/>
  <c r="P56" i="24"/>
  <c r="M39" i="6"/>
  <c r="M43" i="6" s="1"/>
  <c r="Z39" i="6"/>
  <c r="Z43" i="6" s="1"/>
  <c r="V39" i="6"/>
  <c r="V43" i="6" s="1"/>
  <c r="AB264" i="38"/>
  <c r="Q23" i="6"/>
  <c r="G70" i="2"/>
  <c r="G72" i="2" s="1"/>
  <c r="Q20" i="22"/>
  <c r="Q28" i="22"/>
  <c r="Q36" i="22"/>
  <c r="Q18" i="22"/>
  <c r="T18" i="22" s="1"/>
  <c r="AB18" i="22" s="1"/>
  <c r="Q26" i="22"/>
  <c r="Q34" i="22"/>
  <c r="T34" i="22" s="1"/>
  <c r="AB34" i="22" s="1"/>
  <c r="Q24" i="22"/>
  <c r="T24" i="22" s="1"/>
  <c r="AB24" i="22" s="1"/>
  <c r="Q32" i="22"/>
  <c r="Q14" i="22"/>
  <c r="T14" i="22" s="1"/>
  <c r="AB14" i="22" s="1"/>
  <c r="Q22" i="22"/>
  <c r="Q30" i="22"/>
  <c r="T30" i="22" s="1"/>
  <c r="AB30" i="22" s="1"/>
  <c r="T17" i="6"/>
  <c r="AB17" i="6" s="1"/>
  <c r="T21" i="6"/>
  <c r="AB21" i="6" s="1"/>
  <c r="I37" i="6"/>
  <c r="I23" i="6"/>
  <c r="T31" i="6"/>
  <c r="AB31" i="6" s="1"/>
  <c r="T35" i="6"/>
  <c r="AB35" i="6" s="1"/>
  <c r="T19" i="6"/>
  <c r="AB19" i="6" s="1"/>
  <c r="T50" i="13"/>
  <c r="Q52" i="13"/>
  <c r="T46" i="7"/>
  <c r="AB46" i="7" s="1"/>
  <c r="AB26" i="7"/>
  <c r="T43" i="2"/>
  <c r="AB43" i="2" s="1"/>
  <c r="Q28" i="13"/>
  <c r="V13" i="17"/>
  <c r="U47" i="24"/>
  <c r="AC47" i="24" s="1"/>
  <c r="U23" i="24"/>
  <c r="AC23" i="24" s="1"/>
  <c r="U19" i="24"/>
  <c r="AC19" i="24" s="1"/>
  <c r="J56" i="24"/>
  <c r="I48" i="7"/>
  <c r="AB32" i="38"/>
  <c r="X55" i="38"/>
  <c r="AB55" i="38"/>
  <c r="Z132" i="38"/>
  <c r="Z202" i="38"/>
  <c r="X32" i="38"/>
  <c r="Z55" i="38"/>
  <c r="AB132" i="38"/>
  <c r="X202" i="38"/>
  <c r="AB202" i="38"/>
  <c r="X87" i="38"/>
  <c r="AB87" i="38"/>
  <c r="Z87" i="38"/>
  <c r="Z264" i="38"/>
  <c r="X264" i="38"/>
  <c r="T34" i="13"/>
  <c r="AB34" i="13" s="1"/>
  <c r="T68" i="2"/>
  <c r="AB68" i="2" s="1"/>
  <c r="T64" i="2"/>
  <c r="AB64" i="2" s="1"/>
  <c r="T62" i="2"/>
  <c r="AB62" i="2" s="1"/>
  <c r="T58" i="2"/>
  <c r="AB58" i="2" s="1"/>
  <c r="T56" i="2"/>
  <c r="AB56" i="2" s="1"/>
  <c r="Q36" i="13"/>
  <c r="T26" i="13"/>
  <c r="AB26" i="13" s="1"/>
  <c r="T24" i="13"/>
  <c r="AB24" i="13" s="1"/>
  <c r="T20" i="13"/>
  <c r="AB20" i="13" s="1"/>
  <c r="T36" i="7"/>
  <c r="AB36" i="7" s="1"/>
  <c r="AB16" i="7"/>
  <c r="AB18" i="7"/>
  <c r="T33" i="6"/>
  <c r="AB33" i="6" s="1"/>
  <c r="T29" i="6"/>
  <c r="AB29" i="6" s="1"/>
  <c r="T27" i="6"/>
  <c r="Q37" i="6"/>
  <c r="M28" i="13"/>
  <c r="M56" i="13" s="1"/>
  <c r="T16" i="13"/>
  <c r="AB16" i="13" s="1"/>
  <c r="T18" i="13"/>
  <c r="AB18" i="13" s="1"/>
  <c r="T40" i="13"/>
  <c r="AB40" i="13" s="1"/>
  <c r="T42" i="13"/>
  <c r="T54" i="2"/>
  <c r="Q39" i="6" l="1"/>
  <c r="Q43" i="6" s="1"/>
  <c r="Q12" i="22"/>
  <c r="T12" i="22" s="1"/>
  <c r="AB13" i="26"/>
  <c r="AB38" i="26" s="1"/>
  <c r="T38" i="26"/>
  <c r="T49" i="2"/>
  <c r="Q44" i="7"/>
  <c r="T44" i="7" s="1"/>
  <c r="AB44" i="7" s="1"/>
  <c r="O28" i="7"/>
  <c r="T24" i="7"/>
  <c r="AB24" i="7" s="1"/>
  <c r="AB28" i="7" s="1"/>
  <c r="Q28" i="7"/>
  <c r="AB22" i="13"/>
  <c r="AB28" i="13" s="1"/>
  <c r="Q56" i="13"/>
  <c r="I39" i="6"/>
  <c r="T28" i="22"/>
  <c r="AB28" i="22" s="1"/>
  <c r="AD13" i="17"/>
  <c r="AD15" i="17" s="1"/>
  <c r="V15" i="17"/>
  <c r="T32" i="22"/>
  <c r="AB32" i="22" s="1"/>
  <c r="T20" i="22"/>
  <c r="AB20" i="22" s="1"/>
  <c r="T26" i="22"/>
  <c r="AB26" i="22" s="1"/>
  <c r="T22" i="22"/>
  <c r="AB22" i="22" s="1"/>
  <c r="T36" i="22"/>
  <c r="AB36" i="22" s="1"/>
  <c r="Q16" i="22"/>
  <c r="AB50" i="13"/>
  <c r="AB52" i="13" s="1"/>
  <c r="T52" i="13"/>
  <c r="T38" i="7"/>
  <c r="AB38" i="7" s="1"/>
  <c r="O48" i="7"/>
  <c r="AB99" i="38"/>
  <c r="AB267" i="38" s="1"/>
  <c r="X99" i="38"/>
  <c r="AB42" i="13"/>
  <c r="AB46" i="13" s="1"/>
  <c r="T46" i="13"/>
  <c r="T22" i="13"/>
  <c r="T28" i="13" s="1"/>
  <c r="AB27" i="6"/>
  <c r="AB37" i="6" s="1"/>
  <c r="T37" i="6"/>
  <c r="AB15" i="6"/>
  <c r="AB23" i="6" s="1"/>
  <c r="T23" i="6"/>
  <c r="AB19" i="2"/>
  <c r="AB49" i="2" s="1"/>
  <c r="AB54" i="2"/>
  <c r="I70" i="2"/>
  <c r="I72" i="2" s="1"/>
  <c r="Q39" i="22" l="1"/>
  <c r="T28" i="7"/>
  <c r="R56" i="24"/>
  <c r="T39" i="6"/>
  <c r="T16" i="22"/>
  <c r="AB16" i="22" s="1"/>
  <c r="AB39" i="6"/>
  <c r="AB12" i="22"/>
  <c r="Q48" i="7"/>
  <c r="T34" i="7"/>
  <c r="AB39" i="22" l="1"/>
  <c r="T39" i="22"/>
  <c r="AC15" i="24"/>
  <c r="AC56" i="24" s="1"/>
  <c r="U56" i="24"/>
  <c r="AB34" i="7"/>
  <c r="AB48" i="7" s="1"/>
  <c r="T48" i="7"/>
  <c r="M70" i="2"/>
  <c r="M72" i="2" s="1"/>
  <c r="O70" i="2"/>
  <c r="O72" i="2" s="1"/>
  <c r="Q70" i="2" l="1"/>
  <c r="Q72" i="2" s="1"/>
  <c r="AB66" i="2" l="1"/>
  <c r="AB70" i="2" s="1"/>
  <c r="AB72" i="2" s="1"/>
  <c r="T70" i="2"/>
  <c r="T72" i="2" s="1"/>
  <c r="Y56" i="24" l="1"/>
  <c r="K119" i="38"/>
  <c r="I36" i="21"/>
  <c r="I34" i="21"/>
  <c r="I32" i="21"/>
  <c r="I30" i="21"/>
  <c r="I28" i="21"/>
  <c r="I26" i="21"/>
  <c r="I24" i="21"/>
  <c r="I22" i="21"/>
  <c r="I20" i="21"/>
  <c r="I18" i="21"/>
  <c r="I16" i="21"/>
  <c r="S26" i="21" l="1"/>
  <c r="AA26" i="21" s="1"/>
  <c r="S36" i="21"/>
  <c r="AA36" i="21" s="1"/>
  <c r="S24" i="21"/>
  <c r="AA24" i="21" s="1"/>
  <c r="S28" i="21"/>
  <c r="AA28" i="21" s="1"/>
  <c r="S22" i="21"/>
  <c r="AA22" i="21" s="1"/>
  <c r="I14" i="21"/>
  <c r="I39" i="21" s="1"/>
  <c r="E39" i="21"/>
  <c r="S30" i="21"/>
  <c r="AA30" i="21" s="1"/>
  <c r="S20" i="21"/>
  <c r="AA20" i="21" s="1"/>
  <c r="S16" i="21"/>
  <c r="AA16" i="21" s="1"/>
  <c r="S32" i="21"/>
  <c r="AA32" i="21" s="1"/>
  <c r="S18" i="21"/>
  <c r="AA18" i="21" s="1"/>
  <c r="S34" i="21"/>
  <c r="AA34" i="21" s="1"/>
  <c r="K218" i="38"/>
  <c r="K38" i="38"/>
  <c r="K238" i="38"/>
  <c r="G234" i="38"/>
  <c r="E46" i="13"/>
  <c r="E36" i="13"/>
  <c r="G130" i="38"/>
  <c r="E48" i="7"/>
  <c r="S14" i="21" l="1"/>
  <c r="E22" i="13"/>
  <c r="E28" i="13" s="1"/>
  <c r="E56" i="13" s="1"/>
  <c r="AA14" i="21" l="1"/>
  <c r="S39" i="21"/>
  <c r="AA39" i="21" s="1"/>
  <c r="I22" i="13"/>
  <c r="K259" i="38"/>
  <c r="K261" i="38" s="1"/>
  <c r="K240" i="38"/>
  <c r="K241" i="38"/>
  <c r="S241" i="38" s="1"/>
  <c r="K242" i="38"/>
  <c r="S242" i="38" s="1"/>
  <c r="K243" i="38"/>
  <c r="K244" i="38"/>
  <c r="K245" i="38"/>
  <c r="K249" i="38"/>
  <c r="K250" i="38"/>
  <c r="V250" i="38" s="1"/>
  <c r="K251" i="38"/>
  <c r="K252" i="38"/>
  <c r="V252" i="38" s="1"/>
  <c r="K253" i="38"/>
  <c r="K254" i="38"/>
  <c r="K225" i="38"/>
  <c r="K226" i="38"/>
  <c r="K227" i="38"/>
  <c r="V227" i="38" s="1"/>
  <c r="K229" i="38"/>
  <c r="K230" i="38"/>
  <c r="K231" i="38"/>
  <c r="K215" i="38"/>
  <c r="K216" i="38"/>
  <c r="K217" i="38"/>
  <c r="K219" i="38"/>
  <c r="K190" i="38"/>
  <c r="K191" i="38"/>
  <c r="K192" i="38"/>
  <c r="K193" i="38"/>
  <c r="K194" i="38"/>
  <c r="K195" i="38"/>
  <c r="K196" i="38"/>
  <c r="K197" i="38"/>
  <c r="K198" i="38"/>
  <c r="K176" i="38"/>
  <c r="K177" i="38"/>
  <c r="K178" i="38"/>
  <c r="K179" i="38"/>
  <c r="K180" i="38"/>
  <c r="K181" i="38"/>
  <c r="K182" i="38"/>
  <c r="K183" i="38"/>
  <c r="K184" i="38"/>
  <c r="K185" i="38"/>
  <c r="K112" i="38"/>
  <c r="K113" i="38"/>
  <c r="K114" i="38"/>
  <c r="K115" i="38"/>
  <c r="K116" i="38"/>
  <c r="K117" i="38"/>
  <c r="K118" i="38"/>
  <c r="K124" i="38"/>
  <c r="K125" i="38"/>
  <c r="K126" i="38"/>
  <c r="K127" i="38"/>
  <c r="K128" i="38"/>
  <c r="K92" i="38"/>
  <c r="K93" i="38"/>
  <c r="K80" i="38"/>
  <c r="K81" i="38"/>
  <c r="K82" i="38"/>
  <c r="K83" i="38"/>
  <c r="K59" i="38"/>
  <c r="I66" i="38"/>
  <c r="K62" i="38"/>
  <c r="K63" i="38"/>
  <c r="K64" i="38"/>
  <c r="K14" i="38"/>
  <c r="V14" i="38" s="1"/>
  <c r="AD14" i="38" s="1"/>
  <c r="K16" i="38"/>
  <c r="K17" i="38"/>
  <c r="K18" i="38"/>
  <c r="K19" i="38"/>
  <c r="K24" i="38"/>
  <c r="K25" i="38"/>
  <c r="K26" i="38"/>
  <c r="K27" i="38"/>
  <c r="K28" i="38"/>
  <c r="S28" i="38" s="1"/>
  <c r="K36" i="38"/>
  <c r="K37" i="38"/>
  <c r="K39" i="38"/>
  <c r="K40" i="38"/>
  <c r="K41" i="38"/>
  <c r="K42" i="38"/>
  <c r="K47" i="38"/>
  <c r="K48" i="38"/>
  <c r="K49" i="38"/>
  <c r="K50" i="38"/>
  <c r="K51" i="38"/>
  <c r="I85" i="38"/>
  <c r="I30" i="38"/>
  <c r="G261" i="38"/>
  <c r="G256" i="38"/>
  <c r="G221" i="38"/>
  <c r="G200" i="38"/>
  <c r="G187" i="38"/>
  <c r="G85" i="38"/>
  <c r="G21" i="38"/>
  <c r="G30" i="38"/>
  <c r="G44" i="38"/>
  <c r="G53" i="38"/>
  <c r="T32" i="13"/>
  <c r="I16" i="12"/>
  <c r="I31" i="12"/>
  <c r="T31" i="12" s="1"/>
  <c r="AB31" i="12" s="1"/>
  <c r="I29" i="12"/>
  <c r="I27" i="12"/>
  <c r="I20" i="12"/>
  <c r="I18" i="12"/>
  <c r="V56" i="24"/>
  <c r="G37" i="6"/>
  <c r="G23" i="6"/>
  <c r="G41" i="6"/>
  <c r="Z36" i="13"/>
  <c r="Z56" i="13" s="1"/>
  <c r="V36" i="13"/>
  <c r="V56" i="13" s="1"/>
  <c r="G52" i="13"/>
  <c r="G56" i="13" s="1"/>
  <c r="U33" i="12"/>
  <c r="U22" i="12"/>
  <c r="G33" i="12"/>
  <c r="G22" i="12"/>
  <c r="I28" i="7"/>
  <c r="G28" i="7"/>
  <c r="AB88" i="38"/>
  <c r="E38" i="26"/>
  <c r="E39" i="22"/>
  <c r="A4" i="6"/>
  <c r="A3" i="45"/>
  <c r="A3" i="17"/>
  <c r="A4" i="13"/>
  <c r="A4" i="12"/>
  <c r="A3" i="7"/>
  <c r="A50" i="13"/>
  <c r="A52" i="13" s="1"/>
  <c r="A16" i="7"/>
  <c r="A18" i="7" s="1"/>
  <c r="G202" i="38" l="1"/>
  <c r="A54" i="13"/>
  <c r="A56" i="13" s="1"/>
  <c r="V117" i="38"/>
  <c r="G264" i="38"/>
  <c r="A20" i="7"/>
  <c r="S125" i="38"/>
  <c r="S27" i="38"/>
  <c r="Q30" i="38"/>
  <c r="Q97" i="38"/>
  <c r="S93" i="38"/>
  <c r="I41" i="6"/>
  <c r="I36" i="13"/>
  <c r="I33" i="12"/>
  <c r="K221" i="38"/>
  <c r="K187" i="38"/>
  <c r="I22" i="12"/>
  <c r="K256" i="38"/>
  <c r="K264" i="38" s="1"/>
  <c r="K44" i="38"/>
  <c r="K234" i="38"/>
  <c r="K130" i="38"/>
  <c r="K200" i="38"/>
  <c r="I97" i="38"/>
  <c r="K61" i="38"/>
  <c r="K66" i="38" s="1"/>
  <c r="K94" i="38"/>
  <c r="V94" i="38" s="1"/>
  <c r="K15" i="38"/>
  <c r="K21" i="38" s="1"/>
  <c r="K91" i="38"/>
  <c r="AB32" i="13"/>
  <c r="AB36" i="13" s="1"/>
  <c r="AB56" i="13" s="1"/>
  <c r="T36" i="13"/>
  <c r="T56" i="13" s="1"/>
  <c r="X22" i="13"/>
  <c r="X28" i="13" s="1"/>
  <c r="U35" i="12"/>
  <c r="K53" i="38"/>
  <c r="K30" i="38"/>
  <c r="K85" i="38"/>
  <c r="K121" i="38"/>
  <c r="I21" i="38"/>
  <c r="I32" i="38" s="1"/>
  <c r="I87" i="38"/>
  <c r="G35" i="12"/>
  <c r="G39" i="6"/>
  <c r="G43" i="6" s="1"/>
  <c r="G32" i="38"/>
  <c r="G132" i="38"/>
  <c r="G87" i="38"/>
  <c r="G55" i="38"/>
  <c r="A22" i="7" l="1"/>
  <c r="A24" i="7" s="1"/>
  <c r="A26" i="7" s="1"/>
  <c r="A28" i="7" s="1"/>
  <c r="A34" i="7" s="1"/>
  <c r="A36" i="7" s="1"/>
  <c r="A38" i="7" s="1"/>
  <c r="A40" i="7" s="1"/>
  <c r="K97" i="38"/>
  <c r="K87" i="38"/>
  <c r="T41" i="6"/>
  <c r="I43" i="6"/>
  <c r="I35" i="12"/>
  <c r="I39" i="12" s="1"/>
  <c r="T29" i="12"/>
  <c r="O33" i="12"/>
  <c r="K32" i="38"/>
  <c r="K202" i="38"/>
  <c r="K55" i="38"/>
  <c r="K132" i="38"/>
  <c r="I99" i="38"/>
  <c r="G99" i="38"/>
  <c r="G267" i="38" s="1"/>
  <c r="I28" i="13"/>
  <c r="I56" i="13" s="1"/>
  <c r="I267" i="38" l="1"/>
  <c r="A42" i="7"/>
  <c r="A44" i="7" s="1"/>
  <c r="A46" i="7" s="1"/>
  <c r="A48" i="7" s="1"/>
  <c r="AB29" i="12"/>
  <c r="AB41" i="6"/>
  <c r="AB43" i="6" s="1"/>
  <c r="T43" i="6"/>
  <c r="K99" i="38"/>
  <c r="K267" i="38" s="1"/>
  <c r="Q33" i="12"/>
  <c r="T27" i="12"/>
  <c r="T33" i="12" s="1"/>
  <c r="T20" i="12"/>
  <c r="AB20" i="12" s="1"/>
  <c r="O35" i="12"/>
  <c r="O39" i="12" s="1"/>
  <c r="T18" i="12"/>
  <c r="AB18" i="12" s="1"/>
  <c r="Q22" i="12"/>
  <c r="T16" i="12"/>
  <c r="X36" i="13"/>
  <c r="X56" i="13" s="1"/>
  <c r="AB27" i="12" l="1"/>
  <c r="AB33" i="12" s="1"/>
  <c r="Q35" i="12"/>
  <c r="Q39" i="12" s="1"/>
  <c r="AB16" i="12"/>
  <c r="AB22" i="12" s="1"/>
  <c r="T22" i="12"/>
  <c r="Z30" i="38"/>
  <c r="AB35" i="12" l="1"/>
  <c r="AB39" i="12" s="1"/>
  <c r="T35" i="12"/>
  <c r="T39" i="12" s="1"/>
  <c r="V15" i="38" l="1"/>
  <c r="Z21" i="38" l="1"/>
  <c r="Z32" i="38" s="1"/>
  <c r="Z99" i="38" s="1"/>
  <c r="AD15" i="38"/>
  <c r="Z267" i="38" l="1"/>
  <c r="V16" i="38" l="1"/>
  <c r="AD16" i="38" l="1"/>
  <c r="V17" i="38"/>
  <c r="AD17" i="38" l="1"/>
  <c r="V18" i="38" l="1"/>
  <c r="AD18" i="38" l="1"/>
  <c r="V19" i="38"/>
  <c r="Q21" i="38"/>
  <c r="S21" i="38" l="1"/>
  <c r="V21" i="38"/>
  <c r="AD19" i="38"/>
  <c r="AD21" i="38" l="1"/>
  <c r="V24" i="38"/>
  <c r="AD24" i="38" l="1"/>
  <c r="V25" i="38" l="1"/>
  <c r="AD25" i="38" l="1"/>
  <c r="V26" i="38"/>
  <c r="AD26" i="38" l="1"/>
  <c r="V27" i="38" l="1"/>
  <c r="AD27" i="38" l="1"/>
  <c r="V28" i="38"/>
  <c r="S30" i="38" l="1"/>
  <c r="S32" i="38" s="1"/>
  <c r="V30" i="38"/>
  <c r="V32" i="38" s="1"/>
  <c r="AD28" i="38"/>
  <c r="AD30" i="38" l="1"/>
  <c r="AD32" i="38" s="1"/>
  <c r="V36" i="38"/>
  <c r="AD36" i="38" l="1"/>
  <c r="V37" i="38"/>
  <c r="AD37" i="38" l="1"/>
  <c r="V38" i="38" l="1"/>
  <c r="AD38" i="38" l="1"/>
  <c r="V39" i="38"/>
  <c r="AD39" i="38" l="1"/>
  <c r="V40" i="38" l="1"/>
  <c r="AD40" i="38" l="1"/>
  <c r="V41" i="38"/>
  <c r="AD41" i="38" l="1"/>
  <c r="Q44" i="38" l="1"/>
  <c r="S44" i="38" l="1"/>
  <c r="V42" i="38"/>
  <c r="V44" i="38" l="1"/>
  <c r="AD42" i="38"/>
  <c r="AD44" i="38" l="1"/>
  <c r="V47" i="38"/>
  <c r="AD47" i="38" l="1"/>
  <c r="V48" i="38"/>
  <c r="AD48" i="38" l="1"/>
  <c r="V49" i="38" l="1"/>
  <c r="AD49" i="38" l="1"/>
  <c r="V50" i="38"/>
  <c r="AD50" i="38" l="1"/>
  <c r="Q53" i="38" l="1"/>
  <c r="Q55" i="38" s="1"/>
  <c r="S53" i="38" l="1"/>
  <c r="S55" i="38" s="1"/>
  <c r="V51" i="38"/>
  <c r="V53" i="38" l="1"/>
  <c r="V55" i="38" s="1"/>
  <c r="AD51" i="38"/>
  <c r="V59" i="38"/>
  <c r="AD53" i="38" l="1"/>
  <c r="AD55" i="38" s="1"/>
  <c r="AD59" i="38"/>
  <c r="V61" i="38" l="1"/>
  <c r="AD61" i="38" l="1"/>
  <c r="V62" i="38"/>
  <c r="AD62" i="38" l="1"/>
  <c r="V63" i="38" l="1"/>
  <c r="AD63" i="38" l="1"/>
  <c r="V64" i="38"/>
  <c r="Q66" i="38"/>
  <c r="S66" i="38" l="1"/>
  <c r="V66" i="38"/>
  <c r="AD64" i="38"/>
  <c r="AD66" i="38" l="1"/>
  <c r="V80" i="38"/>
  <c r="AD80" i="38" l="1"/>
  <c r="V81" i="38" l="1"/>
  <c r="AD81" i="38" l="1"/>
  <c r="V82" i="38"/>
  <c r="AD82" i="38" l="1"/>
  <c r="Q87" i="38" l="1"/>
  <c r="S85" i="38" l="1"/>
  <c r="S87" i="38" s="1"/>
  <c r="V83" i="38"/>
  <c r="V85" i="38" l="1"/>
  <c r="V87" i="38" s="1"/>
  <c r="AD83" i="38"/>
  <c r="AD85" i="38" l="1"/>
  <c r="AD87" i="38" s="1"/>
  <c r="V91" i="38"/>
  <c r="AD91" i="38" s="1"/>
  <c r="V92" i="38" l="1"/>
  <c r="AD92" i="38" l="1"/>
  <c r="V93" i="38" l="1"/>
  <c r="AD93" i="38" s="1"/>
  <c r="S97" i="38" l="1"/>
  <c r="S99" i="38" s="1"/>
  <c r="V97" i="38"/>
  <c r="V99" i="38" l="1"/>
  <c r="AD94" i="38"/>
  <c r="V112" i="38"/>
  <c r="AD97" i="38" l="1"/>
  <c r="AD99" i="38" s="1"/>
  <c r="AD112" i="38"/>
  <c r="V113" i="38" l="1"/>
  <c r="AD113" i="38" l="1"/>
  <c r="V114" i="38"/>
  <c r="AD114" i="38" l="1"/>
  <c r="V115" i="38" l="1"/>
  <c r="AD115" i="38" l="1"/>
  <c r="V116" i="38"/>
  <c r="AD116" i="38" l="1"/>
  <c r="V118" i="38" l="1"/>
  <c r="X121" i="38" l="1"/>
  <c r="X132" i="38" s="1"/>
  <c r="X267" i="38" s="1"/>
  <c r="AD117" i="38"/>
  <c r="AD118" i="38"/>
  <c r="Q121" i="38" l="1"/>
  <c r="S121" i="38" l="1"/>
  <c r="V119" i="38"/>
  <c r="V121" i="38" l="1"/>
  <c r="AD119" i="38"/>
  <c r="AD121" i="38" l="1"/>
  <c r="V124" i="38"/>
  <c r="AD124" i="38" l="1"/>
  <c r="V125" i="38"/>
  <c r="AD125" i="38" l="1"/>
  <c r="V126" i="38" l="1"/>
  <c r="AD126" i="38" l="1"/>
  <c r="V127" i="38"/>
  <c r="AD127" i="38" l="1"/>
  <c r="Q130" i="38" l="1"/>
  <c r="Q132" i="38" s="1"/>
  <c r="S130" i="38" l="1"/>
  <c r="S132" i="38" s="1"/>
  <c r="V128" i="38"/>
  <c r="V130" i="38" l="1"/>
  <c r="V132" i="38" s="1"/>
  <c r="AD128" i="38"/>
  <c r="V176" i="38"/>
  <c r="AD130" i="38" l="1"/>
  <c r="AD132" i="38" s="1"/>
  <c r="AD176" i="38"/>
  <c r="V177" i="38" l="1"/>
  <c r="AD177" i="38" l="1"/>
  <c r="V178" i="38"/>
  <c r="AD178" i="38" l="1"/>
  <c r="V179" i="38" l="1"/>
  <c r="AD179" i="38" l="1"/>
  <c r="V180" i="38"/>
  <c r="AD180" i="38" l="1"/>
  <c r="V181" i="38" l="1"/>
  <c r="AD181" i="38" l="1"/>
  <c r="V182" i="38"/>
  <c r="AD182" i="38" l="1"/>
  <c r="V183" i="38" l="1"/>
  <c r="AD183" i="38" l="1"/>
  <c r="V184" i="38"/>
  <c r="AD184" i="38" l="1"/>
  <c r="Q187" i="38" l="1"/>
  <c r="S187" i="38" l="1"/>
  <c r="V185" i="38"/>
  <c r="V187" i="38" l="1"/>
  <c r="AD185" i="38"/>
  <c r="AD187" i="38" l="1"/>
  <c r="V190" i="38"/>
  <c r="AD190" i="38" l="1"/>
  <c r="V191" i="38"/>
  <c r="AD191" i="38" l="1"/>
  <c r="V192" i="38" l="1"/>
  <c r="AD192" i="38" l="1"/>
  <c r="V193" i="38"/>
  <c r="AD193" i="38" l="1"/>
  <c r="V194" i="38" l="1"/>
  <c r="AD194" i="38" l="1"/>
  <c r="V195" i="38"/>
  <c r="AD195" i="38" l="1"/>
  <c r="V196" i="38" l="1"/>
  <c r="AD196" i="38" l="1"/>
  <c r="V197" i="38"/>
  <c r="AD197" i="38" l="1"/>
  <c r="Q200" i="38" l="1"/>
  <c r="Q202" i="38" s="1"/>
  <c r="S200" i="38" l="1"/>
  <c r="S202" i="38" s="1"/>
  <c r="V198" i="38"/>
  <c r="V200" i="38" l="1"/>
  <c r="V202" i="38" s="1"/>
  <c r="AD198" i="38"/>
  <c r="V215" i="38"/>
  <c r="AD200" i="38" l="1"/>
  <c r="AD202" i="38" s="1"/>
  <c r="AD215" i="38"/>
  <c r="V216" i="38" l="1"/>
  <c r="AD216" i="38" s="1"/>
  <c r="V217" i="38" l="1"/>
  <c r="AD217" i="38" l="1"/>
  <c r="V218" i="38" l="1"/>
  <c r="AD218" i="38" l="1"/>
  <c r="Q221" i="38" l="1"/>
  <c r="S221" i="38"/>
  <c r="V219" i="38" l="1"/>
  <c r="V221" i="38" l="1"/>
  <c r="AD219" i="38"/>
  <c r="AD221" i="38" l="1"/>
  <c r="V225" i="38"/>
  <c r="AD225" i="38" l="1"/>
  <c r="V226" i="38"/>
  <c r="AD226" i="38" l="1"/>
  <c r="AD227" i="38" l="1"/>
  <c r="V229" i="38"/>
  <c r="AD229" i="38" l="1"/>
  <c r="V230" i="38" l="1"/>
  <c r="AD230" i="38" l="1"/>
  <c r="V231" i="38"/>
  <c r="Q234" i="38"/>
  <c r="S234" i="38" l="1"/>
  <c r="V234" i="38"/>
  <c r="AD231" i="38"/>
  <c r="AD234" i="38" l="1"/>
  <c r="V238" i="38"/>
  <c r="AD238" i="38" l="1"/>
  <c r="V240" i="38" l="1"/>
  <c r="AD240" i="38" l="1"/>
  <c r="V241" i="38" l="1"/>
  <c r="AD241" i="38" l="1"/>
  <c r="V242" i="38"/>
  <c r="AD242" i="38" l="1"/>
  <c r="V243" i="38" l="1"/>
  <c r="AD243" i="38" l="1"/>
  <c r="V244" i="38"/>
  <c r="AD244" i="38" l="1"/>
  <c r="V245" i="38" l="1"/>
  <c r="AD245" i="38" l="1"/>
  <c r="V249" i="38" l="1"/>
  <c r="AD249" i="38" l="1"/>
  <c r="AD250" i="38" l="1"/>
  <c r="V251" i="38" l="1"/>
  <c r="AD251" i="38" l="1"/>
  <c r="AD252" i="38" l="1"/>
  <c r="V253" i="38" l="1"/>
  <c r="AD253" i="38" l="1"/>
  <c r="V254" i="38"/>
  <c r="Q256" i="38"/>
  <c r="S256" i="38" l="1"/>
  <c r="V256" i="38"/>
  <c r="AD254" i="38"/>
  <c r="AD256" i="38" l="1"/>
  <c r="V259" i="38"/>
  <c r="Q261" i="38"/>
  <c r="Q264" i="38" s="1"/>
  <c r="S261" i="38" l="1"/>
  <c r="S264" i="38" s="1"/>
  <c r="S267" i="38" s="1"/>
  <c r="V261" i="38"/>
  <c r="V264" i="38" s="1"/>
  <c r="V267" i="38" s="1"/>
  <c r="AD259" i="38"/>
  <c r="AD261" i="38" l="1"/>
  <c r="AD264" i="38" s="1"/>
  <c r="AD267" i="38" l="1"/>
  <c r="Q32" i="38" l="1"/>
  <c r="Q99" i="38" s="1"/>
  <c r="Q267" i="38" l="1"/>
  <c r="Y59" i="102" l="1"/>
  <c r="Y61" i="102" s="1"/>
  <c r="Y63" i="102" s="1"/>
  <c r="L59" i="102"/>
  <c r="L61" i="102" s="1"/>
  <c r="L63" i="102" l="1"/>
  <c r="P61" i="102"/>
  <c r="P63" i="102" s="1"/>
  <c r="U59" i="102"/>
  <c r="U61" i="102" s="1"/>
  <c r="U63" i="102" s="1"/>
</calcChain>
</file>

<file path=xl/sharedStrings.xml><?xml version="1.0" encoding="utf-8"?>
<sst xmlns="http://schemas.openxmlformats.org/spreadsheetml/2006/main" count="1444" uniqueCount="550">
  <si>
    <t>IDAHO POWER COMPANY</t>
  </si>
  <si>
    <t>OTHER OPERATING REVENUES</t>
  </si>
  <si>
    <t>For Twelve Months Ended December 31, 2025</t>
  </si>
  <si>
    <t>Methodology</t>
  </si>
  <si>
    <t>2025</t>
  </si>
  <si>
    <t>Line</t>
  </si>
  <si>
    <t>3 Period</t>
  </si>
  <si>
    <t>Ref</t>
  </si>
  <si>
    <t>Unadjusted</t>
  </si>
  <si>
    <t xml:space="preserve">Known and </t>
  </si>
  <si>
    <t>No</t>
  </si>
  <si>
    <t>Description</t>
  </si>
  <si>
    <t>Actuals</t>
  </si>
  <si>
    <t>Adjustments</t>
  </si>
  <si>
    <t>Base</t>
  </si>
  <si>
    <t>CAGR</t>
  </si>
  <si>
    <t>Other</t>
  </si>
  <si>
    <t>Adjustment</t>
  </si>
  <si>
    <t>Test Year</t>
  </si>
  <si>
    <t>Normalizing</t>
  </si>
  <si>
    <t>Annualizing</t>
  </si>
  <si>
    <t>Measurable</t>
  </si>
  <si>
    <t>Miscellaneous service revenues (451)</t>
  </si>
  <si>
    <t xml:space="preserve">    Idaho</t>
  </si>
  <si>
    <t>YES</t>
  </si>
  <si>
    <t xml:space="preserve">    Oregon</t>
  </si>
  <si>
    <t xml:space="preserve">     Total Miscellaneous service revenues </t>
  </si>
  <si>
    <t>Rent from electric property (454):</t>
  </si>
  <si>
    <t xml:space="preserve">  Substation equipment</t>
  </si>
  <si>
    <t xml:space="preserve">  Transformer &amp; distribution rentals</t>
  </si>
  <si>
    <t xml:space="preserve">  Cogeneration and small power production</t>
  </si>
  <si>
    <t xml:space="preserve">     Total Cogeneration and small power production</t>
  </si>
  <si>
    <t xml:space="preserve">  Real estate rents</t>
  </si>
  <si>
    <t xml:space="preserve">     Total Real estate rents</t>
  </si>
  <si>
    <t xml:space="preserve">  Joint pole attachments</t>
  </si>
  <si>
    <t xml:space="preserve">     Total Joint pole attachments</t>
  </si>
  <si>
    <t xml:space="preserve">  Facilities charges</t>
  </si>
  <si>
    <t xml:space="preserve">     Total Facilities charges</t>
  </si>
  <si>
    <t xml:space="preserve">  Overnight park rents</t>
  </si>
  <si>
    <t xml:space="preserve">  Water District payments</t>
  </si>
  <si>
    <t xml:space="preserve">  Miscellaneous</t>
  </si>
  <si>
    <t xml:space="preserve">     Total rent from electric property</t>
  </si>
  <si>
    <t>Other electric revenue (456):</t>
  </si>
  <si>
    <t xml:space="preserve">  Network Service </t>
  </si>
  <si>
    <t xml:space="preserve">  Point - to - Point and other services</t>
  </si>
  <si>
    <t xml:space="preserve">  Photovoltaic</t>
  </si>
  <si>
    <t xml:space="preserve">  Antelope</t>
  </si>
  <si>
    <t xml:space="preserve">  Sierra Pacific Power Company sales</t>
  </si>
  <si>
    <t xml:space="preserve">  Stand-by service </t>
  </si>
  <si>
    <t xml:space="preserve">  Energy efficiency rider </t>
  </si>
  <si>
    <t xml:space="preserve">     Total other electric revenue</t>
  </si>
  <si>
    <t>Total other operating revenues</t>
  </si>
  <si>
    <t>A</t>
  </si>
  <si>
    <t>OTHER REVENUES AND EXPENSES</t>
  </si>
  <si>
    <t>Program</t>
  </si>
  <si>
    <t xml:space="preserve">       Other Revenues (Acct 415):</t>
  </si>
  <si>
    <t>Power Solutions</t>
  </si>
  <si>
    <t>Hydro Services</t>
  </si>
  <si>
    <t>Water Management Services</t>
  </si>
  <si>
    <t>Qualified Reporting Entity Svcs</t>
  </si>
  <si>
    <t>Operating Agreements</t>
  </si>
  <si>
    <t>Joint Use (Pole) - Idaho</t>
  </si>
  <si>
    <t>Joint Use (Pole) - Oregon</t>
  </si>
  <si>
    <t xml:space="preserve">    Total</t>
  </si>
  <si>
    <t>B</t>
  </si>
  <si>
    <t xml:space="preserve">       Other Expenses (Acct 416):</t>
  </si>
  <si>
    <t>Joint Use - Idaho</t>
  </si>
  <si>
    <t>Joint Use - Oregon</t>
  </si>
  <si>
    <t>C</t>
  </si>
  <si>
    <t>OPERATION AND MAINTENANCE EXPENSES</t>
  </si>
  <si>
    <t>FERC</t>
  </si>
  <si>
    <t>LINE</t>
  </si>
  <si>
    <t>ACCOUNT</t>
  </si>
  <si>
    <t>NO</t>
  </si>
  <si>
    <t>NUMBER</t>
  </si>
  <si>
    <t>DESCRIPTION</t>
  </si>
  <si>
    <t>Power production expenses:</t>
  </si>
  <si>
    <t xml:space="preserve">  Steam power generation -</t>
  </si>
  <si>
    <t xml:space="preserve">    Operation -</t>
  </si>
  <si>
    <t>500</t>
  </si>
  <si>
    <t>Oper and supv engineering</t>
  </si>
  <si>
    <t>501</t>
  </si>
  <si>
    <t xml:space="preserve">Fuel </t>
  </si>
  <si>
    <t>502</t>
  </si>
  <si>
    <t>Steam expenses</t>
  </si>
  <si>
    <t>505</t>
  </si>
  <si>
    <t>Electric expenses</t>
  </si>
  <si>
    <t>506</t>
  </si>
  <si>
    <t>Misc steam power expenses</t>
  </si>
  <si>
    <t>507</t>
  </si>
  <si>
    <t>Rents</t>
  </si>
  <si>
    <t xml:space="preserve">     Total operation</t>
  </si>
  <si>
    <t xml:space="preserve"> </t>
  </si>
  <si>
    <t xml:space="preserve">    Maintenance -</t>
  </si>
  <si>
    <t>510</t>
  </si>
  <si>
    <t>Main supv and engineering</t>
  </si>
  <si>
    <t>511</t>
  </si>
  <si>
    <t>Main of structures</t>
  </si>
  <si>
    <t>512</t>
  </si>
  <si>
    <t>Main of boiler plant</t>
  </si>
  <si>
    <t>513</t>
  </si>
  <si>
    <t>Main of electric plant</t>
  </si>
  <si>
    <t>514</t>
  </si>
  <si>
    <t>Main of misc steam plant</t>
  </si>
  <si>
    <t xml:space="preserve">     Total maintenance</t>
  </si>
  <si>
    <t xml:space="preserve">     Total steam power generation</t>
  </si>
  <si>
    <t xml:space="preserve">  Hydraulic power generation -</t>
  </si>
  <si>
    <t>Oper supv and engineering</t>
  </si>
  <si>
    <t>Water for power/Cloud seeding</t>
  </si>
  <si>
    <t>Water leases</t>
  </si>
  <si>
    <t>Hydraulic expenses</t>
  </si>
  <si>
    <t>Misc hydro pwr gen exp</t>
  </si>
  <si>
    <t>Main of res,dams,waterwys</t>
  </si>
  <si>
    <t>Main of misc hydro plant</t>
  </si>
  <si>
    <t xml:space="preserve">     Total hydraulic power generation</t>
  </si>
  <si>
    <t xml:space="preserve">  Other power generation -</t>
  </si>
  <si>
    <t>547.000</t>
  </si>
  <si>
    <t>Fuel - Salmon diesel</t>
  </si>
  <si>
    <t>Generation expenses</t>
  </si>
  <si>
    <t>Misc other pwr gen exp</t>
  </si>
  <si>
    <t xml:space="preserve">  Other power generation - (continued)</t>
  </si>
  <si>
    <t>Main of gen and elec plt</t>
  </si>
  <si>
    <t>Main misc oth pwr gen plt</t>
  </si>
  <si>
    <t xml:space="preserve">     Total other power generation</t>
  </si>
  <si>
    <t xml:space="preserve">  Other power supply expenses -</t>
  </si>
  <si>
    <t>555.050</t>
  </si>
  <si>
    <t>Purchased power - transmission losses</t>
  </si>
  <si>
    <t>Purchased power</t>
  </si>
  <si>
    <t>System cont and load disp</t>
  </si>
  <si>
    <t>Other expenses - other power production</t>
  </si>
  <si>
    <t>Other expenses - PCA, EPC and PCAM</t>
  </si>
  <si>
    <t>Other expenses - Bridger GAAP Adj.</t>
  </si>
  <si>
    <t xml:space="preserve">     Total other power supply expenses </t>
  </si>
  <si>
    <t xml:space="preserve">     Total power production expenses</t>
  </si>
  <si>
    <t>Transmission expenses:</t>
  </si>
  <si>
    <t>560</t>
  </si>
  <si>
    <t>561</t>
  </si>
  <si>
    <t>Load dispatching</t>
  </si>
  <si>
    <t>562</t>
  </si>
  <si>
    <t>Station expenses</t>
  </si>
  <si>
    <t>563</t>
  </si>
  <si>
    <t>Overhead line expenses</t>
  </si>
  <si>
    <t>564</t>
  </si>
  <si>
    <t>Underground line expenses</t>
  </si>
  <si>
    <t>565</t>
  </si>
  <si>
    <t>Trans of elec by others</t>
  </si>
  <si>
    <t>566</t>
  </si>
  <si>
    <t>Misc trans expenses</t>
  </si>
  <si>
    <t>567</t>
  </si>
  <si>
    <t>568</t>
  </si>
  <si>
    <t>569</t>
  </si>
  <si>
    <t>570</t>
  </si>
  <si>
    <t>Main of station equip</t>
  </si>
  <si>
    <t>571</t>
  </si>
  <si>
    <t>Main of overhead lines</t>
  </si>
  <si>
    <t>573</t>
  </si>
  <si>
    <t>Main of misc trans plant</t>
  </si>
  <si>
    <t xml:space="preserve">     Total transmission expenses</t>
  </si>
  <si>
    <t>Regional market expenses:</t>
  </si>
  <si>
    <t>575</t>
  </si>
  <si>
    <t>Admin-EIM</t>
  </si>
  <si>
    <t xml:space="preserve">     Total regional market expenses</t>
  </si>
  <si>
    <t>Energy storage expenses:</t>
  </si>
  <si>
    <t xml:space="preserve">     Total energy storage expenses</t>
  </si>
  <si>
    <t>Distribution expenses:</t>
  </si>
  <si>
    <t>580</t>
  </si>
  <si>
    <t>581</t>
  </si>
  <si>
    <t>582</t>
  </si>
  <si>
    <t>583</t>
  </si>
  <si>
    <t>584</t>
  </si>
  <si>
    <t>585</t>
  </si>
  <si>
    <t>St light and sgnl sys exp</t>
  </si>
  <si>
    <t>586</t>
  </si>
  <si>
    <t>Meter expenses</t>
  </si>
  <si>
    <t>587</t>
  </si>
  <si>
    <t>Customer install expenses</t>
  </si>
  <si>
    <t>588</t>
  </si>
  <si>
    <t>Misc distribution exp</t>
  </si>
  <si>
    <t>589</t>
  </si>
  <si>
    <t>590</t>
  </si>
  <si>
    <t>591</t>
  </si>
  <si>
    <t>592</t>
  </si>
  <si>
    <t>593</t>
  </si>
  <si>
    <t>594</t>
  </si>
  <si>
    <t>Main of underground lines</t>
  </si>
  <si>
    <t>595</t>
  </si>
  <si>
    <t>Main of line transformers</t>
  </si>
  <si>
    <t>596</t>
  </si>
  <si>
    <t>Main of st lght-sgnl sys</t>
  </si>
  <si>
    <t>597</t>
  </si>
  <si>
    <t>Main of meters</t>
  </si>
  <si>
    <t>598</t>
  </si>
  <si>
    <t>Main of misc dist plant</t>
  </si>
  <si>
    <t xml:space="preserve">     Total distribution expenses</t>
  </si>
  <si>
    <t>Customer accounts expenses:</t>
  </si>
  <si>
    <t>Supervision</t>
  </si>
  <si>
    <t>Meter reading expenses</t>
  </si>
  <si>
    <t>Cust records - collect exp</t>
  </si>
  <si>
    <t>Uncollectible accounts</t>
  </si>
  <si>
    <t>Misc customer accts exp</t>
  </si>
  <si>
    <t xml:space="preserve">     Total customer accounts expenses</t>
  </si>
  <si>
    <t>Customer service and informational expenses:</t>
  </si>
  <si>
    <t>Customer assistance exp</t>
  </si>
  <si>
    <t>Energy efficiency rider - Idaho</t>
  </si>
  <si>
    <t>Energy efficiency rider - Oregon</t>
  </si>
  <si>
    <t>Info and instruct adv exp</t>
  </si>
  <si>
    <t>Misc cust svc and inf exp</t>
  </si>
  <si>
    <t>Demo and selling exp</t>
  </si>
  <si>
    <t xml:space="preserve">     Total customer service and </t>
  </si>
  <si>
    <t xml:space="preserve">      informational expenses </t>
  </si>
  <si>
    <t>Administrative and general expenses:</t>
  </si>
  <si>
    <t>920</t>
  </si>
  <si>
    <t>Admin and gen salaries</t>
  </si>
  <si>
    <t>Incentive</t>
  </si>
  <si>
    <t>921</t>
  </si>
  <si>
    <t>Office supplies and exp</t>
  </si>
  <si>
    <t>922</t>
  </si>
  <si>
    <t>Admin exp transf - cr</t>
  </si>
  <si>
    <t>923</t>
  </si>
  <si>
    <t>Outside services employed</t>
  </si>
  <si>
    <t>924</t>
  </si>
  <si>
    <t>Property insurance</t>
  </si>
  <si>
    <t>925</t>
  </si>
  <si>
    <t>Injuries and damages</t>
  </si>
  <si>
    <t>926</t>
  </si>
  <si>
    <t>Emp pensions and benefits</t>
  </si>
  <si>
    <t>926.OR</t>
  </si>
  <si>
    <t>Emp pensions and benefits - Oregon</t>
  </si>
  <si>
    <t>Emp pensions and benefits - Idaho</t>
  </si>
  <si>
    <t>Emp pensions and benefits - FERC</t>
  </si>
  <si>
    <t>927</t>
  </si>
  <si>
    <t>Franchise requirements</t>
  </si>
  <si>
    <t>928</t>
  </si>
  <si>
    <t>Reg commission expenses</t>
  </si>
  <si>
    <t>929</t>
  </si>
  <si>
    <t>Duplicate charges - cr</t>
  </si>
  <si>
    <t>930.1</t>
  </si>
  <si>
    <t>General advertising exp</t>
  </si>
  <si>
    <t>930.2</t>
  </si>
  <si>
    <t>Misc general expenses</t>
  </si>
  <si>
    <t>931</t>
  </si>
  <si>
    <t>Main of general plant</t>
  </si>
  <si>
    <t xml:space="preserve">     Total administrative and</t>
  </si>
  <si>
    <t xml:space="preserve">      general expenses</t>
  </si>
  <si>
    <t xml:space="preserve">     Total electric operation</t>
  </si>
  <si>
    <t xml:space="preserve">      and maintenance expenses</t>
  </si>
  <si>
    <t>D</t>
  </si>
  <si>
    <t>PROPERTY INSURANCE - ACCOUNT 924</t>
  </si>
  <si>
    <t>Production - steam:</t>
  </si>
  <si>
    <t>1</t>
  </si>
  <si>
    <t xml:space="preserve">   Bridger plant</t>
  </si>
  <si>
    <t>2</t>
  </si>
  <si>
    <t xml:space="preserve">   Boardman plant</t>
  </si>
  <si>
    <t>3</t>
  </si>
  <si>
    <t xml:space="preserve">   Valmy plant</t>
  </si>
  <si>
    <t>4</t>
  </si>
  <si>
    <t xml:space="preserve">      Total production - steam</t>
  </si>
  <si>
    <t>All risk:</t>
  </si>
  <si>
    <t>5</t>
  </si>
  <si>
    <t xml:space="preserve">   Blanket fidelity bond</t>
  </si>
  <si>
    <t>6</t>
  </si>
  <si>
    <t xml:space="preserve">   Property "all risk"</t>
  </si>
  <si>
    <t>7</t>
  </si>
  <si>
    <t xml:space="preserve">   Other miscellaneous</t>
  </si>
  <si>
    <t>8</t>
  </si>
  <si>
    <t xml:space="preserve">      Total all risk</t>
  </si>
  <si>
    <t>9</t>
  </si>
  <si>
    <t>Total property insurance</t>
  </si>
  <si>
    <t>Damage Claims dept. expenses charges to 924000</t>
  </si>
  <si>
    <t>Total ties to 924000 account on O&amp;M YTD exhibit</t>
  </si>
  <si>
    <t xml:space="preserve">OPERATION AND MAINTENANCE EXPENSES  </t>
  </si>
  <si>
    <t xml:space="preserve">REGULATORY COMMISSION EXPENSES - ACCOUNT 928 </t>
  </si>
  <si>
    <t>FERC administrative assessments and securities (928.101)</t>
  </si>
  <si>
    <t xml:space="preserve">  Capacity</t>
  </si>
  <si>
    <t xml:space="preserve">  Generation</t>
  </si>
  <si>
    <t xml:space="preserve">  Ferc Order #472 - Sales for resale</t>
  </si>
  <si>
    <t xml:space="preserve">  Miscellaneous Other</t>
  </si>
  <si>
    <t xml:space="preserve">    Total (928.101)</t>
  </si>
  <si>
    <t>FERC - Rate Case (928.102)</t>
  </si>
  <si>
    <t>FERC - Oregon Hydro (928.104)</t>
  </si>
  <si>
    <t xml:space="preserve">    Total FERC expense</t>
  </si>
  <si>
    <t>Idaho Public Utilities Commission expense:</t>
  </si>
  <si>
    <t xml:space="preserve">  Rate case (928.202)</t>
  </si>
  <si>
    <t xml:space="preserve">  Other (928.203)</t>
  </si>
  <si>
    <t xml:space="preserve">    Total IPUC expense</t>
  </si>
  <si>
    <t>Oregon Public Utility Commission expense:</t>
  </si>
  <si>
    <t xml:space="preserve">  Filing Fees (928.301)</t>
  </si>
  <si>
    <t xml:space="preserve">  Rate case (928.302)</t>
  </si>
  <si>
    <t xml:space="preserve">  Other (928.303)</t>
  </si>
  <si>
    <t xml:space="preserve">    Total OPUC expense</t>
  </si>
  <si>
    <t>Nevada Public Service Commission expense:</t>
  </si>
  <si>
    <t xml:space="preserve">  Other (928.403)</t>
  </si>
  <si>
    <t xml:space="preserve">    Total NPSC expense</t>
  </si>
  <si>
    <t>Regulatory Commission Expense - System Other (928.503)</t>
  </si>
  <si>
    <t>Total regulatory commission expenses</t>
  </si>
  <si>
    <t>DEPRECIATION AND AMORTIZATION EXPENSE</t>
  </si>
  <si>
    <t xml:space="preserve">       Accounts 403 and 404:</t>
  </si>
  <si>
    <t>Amortization expense</t>
  </si>
  <si>
    <t>1.)</t>
  </si>
  <si>
    <t>Depreciation expense</t>
  </si>
  <si>
    <t>2.)</t>
  </si>
  <si>
    <t>E</t>
  </si>
  <si>
    <t>Includes account 406001 Amort of Elec Plnt Acq Adj $15,017.88</t>
  </si>
  <si>
    <t>Includes account 407312 Reg DR-OR Bridger Inc Inv ($49,989.53)</t>
  </si>
  <si>
    <t>ELECTRIC PLANT/REGULATORY ASSETS - AMORT.,ADJUST.,GAINS &amp; LOSSES</t>
  </si>
  <si>
    <t xml:space="preserve">Amortization of Electric Plant Acquisition Adjustment - Asset Exchange </t>
  </si>
  <si>
    <t>(IPUC Order No. 33313, OPUC Order No. 15-184, FERC Order No. 20150617-3060)</t>
  </si>
  <si>
    <t/>
  </si>
  <si>
    <t>F</t>
  </si>
  <si>
    <t>REGULATORY DEBITS AND CREDITS</t>
  </si>
  <si>
    <t xml:space="preserve">       Regulatory Debits (Acct 407.3):</t>
  </si>
  <si>
    <t>Idaho</t>
  </si>
  <si>
    <t>Siemens LTP Amort - Idaho</t>
  </si>
  <si>
    <t>Cloud computing</t>
  </si>
  <si>
    <t>Wildfire Mitigation</t>
  </si>
  <si>
    <t xml:space="preserve"> Subtotal Idaho</t>
  </si>
  <si>
    <t>Oregon</t>
  </si>
  <si>
    <t>Deferred Pension - Oregon</t>
  </si>
  <si>
    <t>Siemens LTP Amort - Oregon</t>
  </si>
  <si>
    <t xml:space="preserve"> Subtotal Oregon</t>
  </si>
  <si>
    <t>G</t>
  </si>
  <si>
    <t>TAXES OTHER THAN INCOME TAXES</t>
  </si>
  <si>
    <t>Federal taxes:</t>
  </si>
  <si>
    <t xml:space="preserve">  Unemployment</t>
  </si>
  <si>
    <t xml:space="preserve">  Social Security </t>
  </si>
  <si>
    <t xml:space="preserve">    Total federal taxes</t>
  </si>
  <si>
    <t>State, county  and local taxes:</t>
  </si>
  <si>
    <t xml:space="preserve">  Real and personal property:</t>
  </si>
  <si>
    <t xml:space="preserve">    Idaho litigation refunds 2020-2022</t>
  </si>
  <si>
    <t xml:space="preserve">1.) </t>
  </si>
  <si>
    <t xml:space="preserve">    Net Idaho </t>
  </si>
  <si>
    <t xml:space="preserve">    Oregon litigation refunds 2021-2024</t>
  </si>
  <si>
    <t xml:space="preserve">    Net Oregon</t>
  </si>
  <si>
    <t xml:space="preserve">    Montana</t>
  </si>
  <si>
    <t xml:space="preserve">    Washington</t>
  </si>
  <si>
    <t xml:space="preserve">    Wyoming</t>
  </si>
  <si>
    <t xml:space="preserve">    Nevada</t>
  </si>
  <si>
    <t xml:space="preserve">      Total real and personal property</t>
  </si>
  <si>
    <t xml:space="preserve">  Kilowatt-hour tax - Idaho</t>
  </si>
  <si>
    <t>Idaho other assessments:</t>
  </si>
  <si>
    <t xml:space="preserve">    Shoshone-Bannock</t>
  </si>
  <si>
    <t xml:space="preserve">    Idaho Special Assessment</t>
  </si>
  <si>
    <t xml:space="preserve">    Idaho Irrigation Assessment</t>
  </si>
  <si>
    <t xml:space="preserve">    Downtown Boise Association</t>
  </si>
  <si>
    <t xml:space="preserve">      Total Idaho other  assessments</t>
  </si>
  <si>
    <t xml:space="preserve">  Licenses:</t>
  </si>
  <si>
    <t xml:space="preserve">      Total licenses</t>
  </si>
  <si>
    <t xml:space="preserve">  Regulatory commission:</t>
  </si>
  <si>
    <t xml:space="preserve">      Total regulatory commission</t>
  </si>
  <si>
    <t xml:space="preserve">  Franchise:</t>
  </si>
  <si>
    <t xml:space="preserve">    Oregon total franchise</t>
  </si>
  <si>
    <t xml:space="preserve">  Nevada Commerce Tax</t>
  </si>
  <si>
    <t xml:space="preserve">  Unemployment:</t>
  </si>
  <si>
    <t xml:space="preserve">      Total unemployment</t>
  </si>
  <si>
    <t xml:space="preserve">    Total state, county and local taxes</t>
  </si>
  <si>
    <t>Total other taxes</t>
  </si>
  <si>
    <t xml:space="preserve">  Less:  State &amp; Fed P/R Loading Reversal</t>
  </si>
  <si>
    <t>Net other taxes</t>
  </si>
  <si>
    <t>H</t>
  </si>
  <si>
    <t>Case No:</t>
  </si>
  <si>
    <t>2020 – CV01-20-14896</t>
  </si>
  <si>
    <t>2021 – CV01-21-14121</t>
  </si>
  <si>
    <t>2022 – CV02-22-12459</t>
  </si>
  <si>
    <t>2021 – TC – MD 210375N</t>
  </si>
  <si>
    <t>2022 – TC – MD 220409N</t>
  </si>
  <si>
    <t>2023 – TC – MD 230406N</t>
  </si>
  <si>
    <t>2024 – TC – MD 240567N</t>
  </si>
  <si>
    <t>STATEMENT OF INCOME</t>
  </si>
  <si>
    <t>FOR IDAHO ENERGY RESOURCES COMPANY</t>
  </si>
  <si>
    <t>Income:</t>
  </si>
  <si>
    <t xml:space="preserve">   Bridger Coal Company - joint venture</t>
  </si>
  <si>
    <t xml:space="preserve">   Bridger Coal Company - overriding royalties</t>
  </si>
  <si>
    <t xml:space="preserve">   Interest and dividend income</t>
  </si>
  <si>
    <t xml:space="preserve">   Taxes Other than Income Taxes</t>
  </si>
  <si>
    <t xml:space="preserve">     Total income</t>
  </si>
  <si>
    <t>Expenses:</t>
  </si>
  <si>
    <t xml:space="preserve">   Operation expense</t>
  </si>
  <si>
    <t xml:space="preserve">   Income taxes</t>
  </si>
  <si>
    <t xml:space="preserve">   Provision for deferred income taxes</t>
  </si>
  <si>
    <t xml:space="preserve">   Intercompany interest expense</t>
  </si>
  <si>
    <t xml:space="preserve">   Interest expense</t>
  </si>
  <si>
    <t xml:space="preserve">     Total expenses</t>
  </si>
  <si>
    <t>Net income from operations</t>
  </si>
  <si>
    <t>Add: Interest expense from notes payable to parent (Net of Tax)</t>
  </si>
  <si>
    <t>Net income (earnings to Idaho Power Company)</t>
  </si>
  <si>
    <t>I</t>
  </si>
  <si>
    <t>ALLOWANCE FOR FUNDS USED DURING CONSTRUCTION (AFUDC) RELATED TO HELLS CANYON RELICENSING COLLECTED FROM CUSTOMERS</t>
  </si>
  <si>
    <t>AFUDC related to Hells Canyon relicensing collected</t>
  </si>
  <si>
    <t xml:space="preserve">    Total AFUDC related to Hells Canyon Relicensing Collected</t>
  </si>
  <si>
    <t>J</t>
  </si>
  <si>
    <t>ELECTRIC PLANT IN SERVICE (Excluding ARO Entries)</t>
  </si>
  <si>
    <t>For The Thirteen Months Ended December 31, 2025</t>
  </si>
  <si>
    <t>Month</t>
  </si>
  <si>
    <t>December, 2023</t>
  </si>
  <si>
    <t>January, 2024</t>
  </si>
  <si>
    <t>February</t>
  </si>
  <si>
    <t>March</t>
  </si>
  <si>
    <t>April</t>
  </si>
  <si>
    <t>May</t>
  </si>
  <si>
    <t>June</t>
  </si>
  <si>
    <t>July</t>
  </si>
  <si>
    <t>August</t>
  </si>
  <si>
    <t>10</t>
  </si>
  <si>
    <t>September</t>
  </si>
  <si>
    <t>11</t>
  </si>
  <si>
    <t>October</t>
  </si>
  <si>
    <t>12</t>
  </si>
  <si>
    <t>November</t>
  </si>
  <si>
    <t>13</t>
  </si>
  <si>
    <t>December</t>
  </si>
  <si>
    <t>14</t>
  </si>
  <si>
    <t xml:space="preserve">   Average</t>
  </si>
  <si>
    <t>K</t>
  </si>
  <si>
    <t>ACCUMULATED PROVISION FOR DEPRECIATION (Excluding ARO Entries)</t>
  </si>
  <si>
    <t>L</t>
  </si>
  <si>
    <t>ACCUMULATED PROVISION FOR AMORTIZATION (Excluding ARO Entries)</t>
  </si>
  <si>
    <t>OF ELECTRIC UTILITY PLANT</t>
  </si>
  <si>
    <t>M</t>
  </si>
  <si>
    <t>MATERIALS AND SUPPLIES</t>
  </si>
  <si>
    <t>2024</t>
  </si>
  <si>
    <t>Description - Account 154 &amp; 163</t>
  </si>
  <si>
    <t>N</t>
  </si>
  <si>
    <t>OTHER DEFERRED PROGRAMS</t>
  </si>
  <si>
    <t>At December 31, 2025</t>
  </si>
  <si>
    <t>Idaho Public Utilities Commission:</t>
  </si>
  <si>
    <t>Account 186</t>
  </si>
  <si>
    <t>American Falls Bond Refinancing - (IPUC Order 25880)</t>
  </si>
  <si>
    <t>Account 182</t>
  </si>
  <si>
    <t>Siemens LTP Rate Base - (IPUC Order 33420)</t>
  </si>
  <si>
    <t>Siemens LTP Deferred Rate Base - (IPUC Order 33420)</t>
  </si>
  <si>
    <t>Cloud Computing - (IPUC Order 34707)</t>
  </si>
  <si>
    <t>Wildfire Mitigation - (IPUC Order 35077, 35717, 36042)</t>
  </si>
  <si>
    <t>Wildfire Mitigation Amort - (IPUC Order 36042)</t>
  </si>
  <si>
    <t>Western Resource Adequacy Program - (IPUC Order 35920)</t>
  </si>
  <si>
    <t>Intervenor Funding - (IPUC Order 36042, 36048)</t>
  </si>
  <si>
    <t>Intervenor Funding Amort - (IPUC Order 36042)</t>
  </si>
  <si>
    <t>Oregon Public Utilities Commission:</t>
  </si>
  <si>
    <t>CUB Fund Grant - (OPUC Order 24-006)</t>
  </si>
  <si>
    <t>CUB Fund Grant Amort - (OPUC Order 23-185, 24-153)</t>
  </si>
  <si>
    <t>Siemens LTP Rate Base - (OPUC Order 15-387)</t>
  </si>
  <si>
    <t>Siemens LTP Deferred Rate Base - (OPUC Order 15-387)</t>
  </si>
  <si>
    <t>SFAS 87 Capitalized Pension - (OPUC Order 10-064)</t>
  </si>
  <si>
    <t>Wildfire Mitigation - (OPUC Order 24-010)</t>
  </si>
  <si>
    <t>Account 254</t>
  </si>
  <si>
    <t>Jim Bridger Plant End-of-Life Depreciation - (OPUC Order 12-296)</t>
  </si>
  <si>
    <t xml:space="preserve">       Total</t>
  </si>
  <si>
    <t>O</t>
  </si>
  <si>
    <t>`</t>
  </si>
  <si>
    <t>PLANT HELD FOR FUTURE USE</t>
  </si>
  <si>
    <t>Power Production:</t>
  </si>
  <si>
    <t>American Falls Power Plant</t>
  </si>
  <si>
    <t>Bennett Mtn Plant Expansion</t>
  </si>
  <si>
    <t xml:space="preserve">  Total Power Production</t>
  </si>
  <si>
    <t>Distribution:</t>
  </si>
  <si>
    <t>Amity Substation</t>
  </si>
  <si>
    <t>Beacon Light Substation</t>
  </si>
  <si>
    <t>Dist. Lines, Blaine, ID</t>
  </si>
  <si>
    <t>Dist. Lines, Canyon, ID</t>
  </si>
  <si>
    <t>Farmway Station</t>
  </si>
  <si>
    <t>Filer Substation</t>
  </si>
  <si>
    <t>Highland Substation</t>
  </si>
  <si>
    <t>Jump Substation</t>
  </si>
  <si>
    <t>Lakeshore Substation</t>
  </si>
  <si>
    <t>McDermott Substation</t>
  </si>
  <si>
    <t>Melba Substation</t>
  </si>
  <si>
    <t>Northside Substation</t>
  </si>
  <si>
    <t>Notch Butte Substation</t>
  </si>
  <si>
    <t>Pillar Falls Substation</t>
  </si>
  <si>
    <t>State Substation</t>
  </si>
  <si>
    <t>Ustick Substation</t>
  </si>
  <si>
    <t>Wagner Substation</t>
  </si>
  <si>
    <t>Ward Substation</t>
  </si>
  <si>
    <t>Crossroads Substation</t>
  </si>
  <si>
    <t>Gem Substation</t>
  </si>
  <si>
    <t>Greenleaf Substation</t>
  </si>
  <si>
    <t>Lake Hazel Substation</t>
  </si>
  <si>
    <t>Eisenman Substation</t>
  </si>
  <si>
    <t xml:space="preserve">  Total Distribution</t>
  </si>
  <si>
    <t>Transmission:</t>
  </si>
  <si>
    <t>Boise Bench Transmission Station</t>
  </si>
  <si>
    <t>Donnelly McCall Transmission Land R/W</t>
  </si>
  <si>
    <t>Dry Creek Transmission Station</t>
  </si>
  <si>
    <t>Line #853 500KV</t>
  </si>
  <si>
    <t>Line #854 500KV</t>
  </si>
  <si>
    <t>Long Valley Transmission Station</t>
  </si>
  <si>
    <t>Mayfield Transmission Station</t>
  </si>
  <si>
    <t>Midpoint Transmission Station</t>
  </si>
  <si>
    <t>Pallette Junction Substation</t>
  </si>
  <si>
    <t>Pingree Substation</t>
  </si>
  <si>
    <t>Sage Transmission Station</t>
  </si>
  <si>
    <t>Shellrock Transmission Station</t>
  </si>
  <si>
    <t xml:space="preserve">  Total Transmission</t>
  </si>
  <si>
    <t xml:space="preserve">    Total Plant Held for Future Use </t>
  </si>
  <si>
    <t>P</t>
  </si>
  <si>
    <t>DEFERRED INCOME TAX BALANCES</t>
  </si>
  <si>
    <t>Balance 
Dec 31, 2024</t>
  </si>
  <si>
    <t xml:space="preserve">Change
2025 </t>
  </si>
  <si>
    <t>Balance 
Dec 31, 2025</t>
  </si>
  <si>
    <t>Average 
2024-2025</t>
  </si>
  <si>
    <t>ACCOUNT 190 - ACCUM DEF INC TAXES:</t>
  </si>
  <si>
    <t>004003-CONSTRUCTION ADVANCES</t>
  </si>
  <si>
    <t>005010-POSTEMPLOYMENT BENEFITS</t>
  </si>
  <si>
    <t>005026-USBR AMERICAN FALLS O&amp;M COSTS</t>
  </si>
  <si>
    <t>005033-NON VEBA PENSION AND BENEFITS</t>
  </si>
  <si>
    <t>005064-BRIDGER REVENUE DEFERRAL</t>
  </si>
  <si>
    <t>005073-OR RECONNECT FEES ADV</t>
  </si>
  <si>
    <t>005531-RATE CASE DISALLOWANCES AMORTIZATION</t>
  </si>
  <si>
    <t>008001-VEBA POST-RETIREMENT BENEFITS</t>
  </si>
  <si>
    <t>008013-ANNUALIZED BOOK DEPRECIATION</t>
  </si>
  <si>
    <t xml:space="preserve">     TOTAL 190</t>
  </si>
  <si>
    <t>ACCOUNT 282 - ACCUM DEF INC TAXES - OTHER PROPERTY:</t>
  </si>
  <si>
    <t>LIBERALIZED DEPR - ELECTRIC PLANT</t>
  </si>
  <si>
    <t xml:space="preserve">     TOTAL 282</t>
  </si>
  <si>
    <t>ACCOUNT 283 - ACCUM DEF INC TAXES - OTHER:</t>
  </si>
  <si>
    <t>004501-ROYALTY INCOME</t>
  </si>
  <si>
    <t>005008-GAIN/LOSS ON REACQUIRED DEBT</t>
  </si>
  <si>
    <t>005045-WILDFIRE MITIGATION 35077 DEFERRAL</t>
  </si>
  <si>
    <t>005057-INTERVENOR FUNDING ORDERS</t>
  </si>
  <si>
    <t>008081-SIEMENS LTP CONTRACT</t>
  </si>
  <si>
    <t>008083-SIEMENS OR DRB INTEREST RESERVE</t>
  </si>
  <si>
    <t xml:space="preserve">     TOTAL 283</t>
  </si>
  <si>
    <t xml:space="preserve">     TOTAL DEFERRED TAX BALANCES</t>
  </si>
  <si>
    <t>Deferred Tax Expense without ITC - 410 / 411</t>
  </si>
  <si>
    <t>PAC LKE</t>
  </si>
  <si>
    <t>ITC Deferred Tax Expense - 411.4</t>
  </si>
  <si>
    <t xml:space="preserve">Excludes ADITC </t>
  </si>
  <si>
    <t>Total Deferred Tax Expense</t>
  </si>
  <si>
    <t>CUSTOMER ADVANCES FOR CONSTRUCTION</t>
  </si>
  <si>
    <t>Q</t>
  </si>
  <si>
    <t>B2H Seller's Security from BPA.</t>
  </si>
  <si>
    <t>IERCo - SUBSIDIARY RATE BASE COMPONENTS</t>
  </si>
  <si>
    <t>(1)</t>
  </si>
  <si>
    <t>(2)</t>
  </si>
  <si>
    <t>(3)</t>
  </si>
  <si>
    <t>(4)</t>
  </si>
  <si>
    <t>Advance</t>
  </si>
  <si>
    <t>Notes</t>
  </si>
  <si>
    <t>Coal</t>
  </si>
  <si>
    <t>Receivable from</t>
  </si>
  <si>
    <t>Investment</t>
  </si>
  <si>
    <t>Change</t>
  </si>
  <si>
    <t>Royalties</t>
  </si>
  <si>
    <t>Subsidiary</t>
  </si>
  <si>
    <t>Total</t>
  </si>
  <si>
    <t>R</t>
  </si>
  <si>
    <t>EXHIBIT NO 1</t>
  </si>
  <si>
    <t>CASE NO U-1006</t>
  </si>
  <si>
    <t>H J HOCHALTER</t>
  </si>
  <si>
    <t>PAGE   OF</t>
  </si>
  <si>
    <t xml:space="preserve">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</si>
</sst>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_);\(0\)"/>
    <numFmt numFmtId="166" formatCode="_(* #,##0_);_(* \(#,##0\);_(* &quot;-&quot;??_);_(@_)"/>
    <numFmt numFmtId="167" formatCode="@*."/>
    <numFmt numFmtId="168" formatCode=";;;"/>
    <numFmt numFmtId="169" formatCode="_(* #,##0.00_);_(* \(#,##0.00\);_(* &quot;-&quot;_);_(@_)"/>
    <numFmt numFmtId="170" formatCode="_(&quot;$&quot;* #,##0_);_(&quot;$&quot;* \(#,##0\);_(&quot;$&quot;* &quot;-&quot;??_);_(@_)"/>
    <numFmt numFmtId="171" formatCode="0.000%"/>
  </numFmts>
  <fonts count="33">
    <font>
      <sz val="10"/>
      <name val="Courier"/>
    </font>
    <font>
      <sz val="10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10"/>
      <name val="Arial Unicode MS"/>
      <family val="2"/>
    </font>
    <font>
      <sz val="11"/>
      <color theme="1"/>
      <name val="Garamond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Arial Unicode MS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u/>
      <sz val="10"/>
      <color indexed="8"/>
      <name val="Arial"/>
      <family val="2"/>
    </font>
    <font>
      <b/>
      <sz val="7.9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662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11" fillId="0" borderId="1">
      <alignment horizontal="center"/>
    </xf>
    <xf numFmtId="3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6" fillId="0" borderId="0"/>
    <xf numFmtId="0" fontId="9" fillId="0" borderId="0"/>
    <xf numFmtId="0" fontId="9" fillId="0" borderId="0"/>
    <xf numFmtId="0" fontId="6" fillId="0" borderId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11" fillId="0" borderId="1">
      <alignment horizontal="center"/>
    </xf>
    <xf numFmtId="3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11" fillId="0" borderId="1">
      <alignment horizontal="center"/>
    </xf>
    <xf numFmtId="3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37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2" fillId="0" borderId="0"/>
    <xf numFmtId="43" fontId="12" fillId="0" borderId="0" applyFont="0" applyFill="0" applyBorder="0" applyAlignment="0" applyProtection="0"/>
    <xf numFmtId="37" fontId="7" fillId="0" borderId="0"/>
    <xf numFmtId="0" fontId="12" fillId="0" borderId="0"/>
    <xf numFmtId="37" fontId="7" fillId="0" borderId="0"/>
    <xf numFmtId="0" fontId="12" fillId="0" borderId="0"/>
    <xf numFmtId="37" fontId="7" fillId="0" borderId="0"/>
    <xf numFmtId="0" fontId="9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2" fillId="0" borderId="0"/>
    <xf numFmtId="37" fontId="7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6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43" fontId="16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5" fontId="14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44" fontId="13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15" fillId="0" borderId="1">
      <alignment horizontal="center"/>
    </xf>
    <xf numFmtId="3" fontId="14" fillId="0" borderId="0" applyFont="0" applyFill="0" applyBorder="0" applyAlignment="0" applyProtection="0"/>
    <xf numFmtId="0" fontId="14" fillId="2" borderId="0" applyNumberFormat="0" applyFont="0" applyBorder="0" applyAlignment="0" applyProtection="0"/>
    <xf numFmtId="37" fontId="7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164" fontId="2" fillId="0" borderId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5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4" fontId="2" fillId="0" borderId="0"/>
    <xf numFmtId="168" fontId="2" fillId="0" borderId="0"/>
    <xf numFmtId="164" fontId="24" fillId="0" borderId="0"/>
    <xf numFmtId="43" fontId="1" fillId="0" borderId="0" applyFont="0" applyFill="0" applyBorder="0" applyAlignment="0" applyProtection="0"/>
    <xf numFmtId="164" fontId="2" fillId="0" borderId="0"/>
    <xf numFmtId="0" fontId="25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</cellStyleXfs>
  <cellXfs count="240">
    <xf numFmtId="164" fontId="0" fillId="0" borderId="0" xfId="0"/>
    <xf numFmtId="164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164" fontId="1" fillId="0" borderId="0" xfId="0" applyFont="1"/>
    <xf numFmtId="164" fontId="1" fillId="0" borderId="0" xfId="0" quotePrefix="1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3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applyFont="1" applyAlignment="1" applyProtection="1">
      <alignment horizontal="center"/>
      <protection locked="0"/>
    </xf>
    <xf numFmtId="3" fontId="17" fillId="0" borderId="0" xfId="0" applyNumberFormat="1" applyFont="1" applyAlignment="1" applyProtection="1">
      <alignment horizontal="center"/>
      <protection locked="0"/>
    </xf>
    <xf numFmtId="164" fontId="1" fillId="0" borderId="2" xfId="0" applyFont="1" applyBorder="1" applyAlignment="1" applyProtection="1">
      <alignment horizontal="center"/>
      <protection locked="0"/>
    </xf>
    <xf numFmtId="164" fontId="17" fillId="0" borderId="2" xfId="0" applyFont="1" applyBorder="1" applyAlignment="1" applyProtection="1">
      <alignment horizontal="center"/>
      <protection locked="0"/>
    </xf>
    <xf numFmtId="3" fontId="1" fillId="0" borderId="2" xfId="0" quotePrefix="1" applyNumberFormat="1" applyFont="1" applyBorder="1" applyAlignment="1" applyProtection="1">
      <alignment horizontal="center"/>
      <protection locked="0"/>
    </xf>
    <xf numFmtId="3" fontId="1" fillId="0" borderId="2" xfId="0" applyNumberFormat="1" applyFont="1" applyBorder="1" applyAlignment="1" applyProtection="1">
      <alignment horizontal="center"/>
      <protection locked="0"/>
    </xf>
    <xf numFmtId="3" fontId="17" fillId="0" borderId="2" xfId="0" applyNumberFormat="1" applyFont="1" applyBorder="1" applyAlignment="1" applyProtection="1">
      <alignment horizontal="center"/>
      <protection locked="0"/>
    </xf>
    <xf numFmtId="38" fontId="1" fillId="0" borderId="0" xfId="0" applyNumberFormat="1" applyFont="1" applyProtection="1">
      <protection locked="0"/>
    </xf>
    <xf numFmtId="10" fontId="1" fillId="0" borderId="0" xfId="0" applyNumberFormat="1" applyFont="1" applyProtection="1">
      <protection locked="0"/>
    </xf>
    <xf numFmtId="164" fontId="1" fillId="0" borderId="0" xfId="0" quotePrefix="1" applyFont="1" applyAlignment="1" applyProtection="1">
      <alignment horizontal="left"/>
      <protection locked="0"/>
    </xf>
    <xf numFmtId="167" fontId="1" fillId="0" borderId="0" xfId="0" quotePrefix="1" applyNumberFormat="1" applyFont="1" applyAlignment="1" applyProtection="1">
      <alignment horizontal="center"/>
      <protection locked="0"/>
    </xf>
    <xf numFmtId="42" fontId="1" fillId="0" borderId="0" xfId="0" applyNumberFormat="1" applyFont="1" applyProtection="1">
      <protection locked="0"/>
    </xf>
    <xf numFmtId="42" fontId="1" fillId="0" borderId="0" xfId="0" applyNumberFormat="1" applyFont="1" applyAlignment="1" applyProtection="1">
      <alignment horizontal="center"/>
      <protection locked="0"/>
    </xf>
    <xf numFmtId="164" fontId="1" fillId="0" borderId="0" xfId="0" applyFont="1" applyAlignment="1" applyProtection="1">
      <alignment horizontal="left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167" fontId="1" fillId="0" borderId="0" xfId="0" applyNumberFormat="1" applyFont="1" applyAlignment="1" applyProtection="1">
      <alignment horizontal="center"/>
      <protection locked="0"/>
    </xf>
    <xf numFmtId="41" fontId="1" fillId="0" borderId="0" xfId="0" applyNumberFormat="1" applyFont="1" applyProtection="1">
      <protection locked="0"/>
    </xf>
    <xf numFmtId="41" fontId="1" fillId="0" borderId="0" xfId="0" applyNumberFormat="1" applyFont="1" applyAlignment="1" applyProtection="1">
      <alignment horizontal="center"/>
      <protection locked="0"/>
    </xf>
    <xf numFmtId="167" fontId="1" fillId="0" borderId="0" xfId="0" quotePrefix="1" applyNumberFormat="1" applyFont="1" applyAlignment="1" applyProtection="1">
      <alignment horizontal="left"/>
      <protection locked="0"/>
    </xf>
    <xf numFmtId="41" fontId="1" fillId="0" borderId="2" xfId="0" applyNumberFormat="1" applyFont="1" applyBorder="1" applyProtection="1">
      <protection locked="0"/>
    </xf>
    <xf numFmtId="42" fontId="1" fillId="0" borderId="3" xfId="2" applyNumberFormat="1" applyFont="1" applyFill="1" applyBorder="1" applyAlignment="1" applyProtection="1">
      <protection locked="0"/>
    </xf>
    <xf numFmtId="42" fontId="1" fillId="0" borderId="0" xfId="2" applyNumberFormat="1" applyFont="1" applyFill="1" applyBorder="1" applyAlignment="1" applyProtection="1">
      <alignment horizontal="center"/>
      <protection locked="0"/>
    </xf>
    <xf numFmtId="42" fontId="1" fillId="0" borderId="0" xfId="2" applyNumberFormat="1" applyFont="1" applyFill="1" applyBorder="1" applyAlignment="1" applyProtection="1">
      <protection locked="0"/>
    </xf>
    <xf numFmtId="42" fontId="18" fillId="0" borderId="0" xfId="0" applyNumberFormat="1" applyFont="1" applyAlignment="1" applyProtection="1">
      <alignment horizontal="center"/>
      <protection locked="0"/>
    </xf>
    <xf numFmtId="38" fontId="1" fillId="0" borderId="0" xfId="2" applyNumberFormat="1" applyFont="1" applyFill="1" applyBorder="1" applyAlignment="1" applyProtection="1">
      <protection locked="0"/>
    </xf>
    <xf numFmtId="6" fontId="1" fillId="0" borderId="0" xfId="2" applyNumberFormat="1" applyFont="1" applyFill="1" applyBorder="1" applyAlignment="1" applyProtection="1">
      <protection locked="0"/>
    </xf>
    <xf numFmtId="41" fontId="1" fillId="0" borderId="0" xfId="0" quotePrefix="1" applyNumberFormat="1" applyFont="1" applyProtection="1">
      <protection locked="0"/>
    </xf>
    <xf numFmtId="5" fontId="1" fillId="0" borderId="0" xfId="0" applyNumberFormat="1" applyFont="1" applyProtection="1">
      <protection locked="0"/>
    </xf>
    <xf numFmtId="164" fontId="1" fillId="0" borderId="0" xfId="0" quotePrefix="1" applyFont="1" applyProtection="1">
      <protection locked="0"/>
    </xf>
    <xf numFmtId="10" fontId="1" fillId="0" borderId="0" xfId="0" quotePrefix="1" applyNumberFormat="1" applyFont="1" applyProtection="1">
      <protection locked="0"/>
    </xf>
    <xf numFmtId="42" fontId="1" fillId="0" borderId="2" xfId="0" applyNumberFormat="1" applyFont="1" applyBorder="1" applyProtection="1">
      <protection locked="0"/>
    </xf>
    <xf numFmtId="167" fontId="1" fillId="0" borderId="0" xfId="0" applyNumberFormat="1" applyFont="1" applyAlignment="1" applyProtection="1">
      <alignment horizontal="left"/>
      <protection locked="0"/>
    </xf>
    <xf numFmtId="38" fontId="1" fillId="0" borderId="2" xfId="0" applyNumberFormat="1" applyFont="1" applyBorder="1" applyProtection="1">
      <protection locked="0"/>
    </xf>
    <xf numFmtId="42" fontId="1" fillId="0" borderId="4" xfId="0" applyNumberFormat="1" applyFont="1" applyBorder="1" applyProtection="1">
      <protection locked="0"/>
    </xf>
    <xf numFmtId="42" fontId="1" fillId="0" borderId="3" xfId="0" applyNumberFormat="1" applyFont="1" applyBorder="1" applyProtection="1">
      <protection locked="0"/>
    </xf>
    <xf numFmtId="164" fontId="1" fillId="0" borderId="0" xfId="0" applyFont="1" applyAlignment="1" applyProtection="1">
      <alignment wrapText="1"/>
      <protection locked="0"/>
    </xf>
    <xf numFmtId="41" fontId="1" fillId="0" borderId="0" xfId="0" applyNumberFormat="1" applyFont="1" applyAlignment="1" applyProtection="1">
      <alignment wrapText="1"/>
      <protection locked="0"/>
    </xf>
    <xf numFmtId="41" fontId="1" fillId="0" borderId="0" xfId="4" applyNumberFormat="1" applyFont="1" applyFill="1" applyBorder="1" applyProtection="1">
      <protection locked="0"/>
    </xf>
    <xf numFmtId="5" fontId="1" fillId="0" borderId="0" xfId="0" applyNumberFormat="1" applyFont="1" applyAlignment="1" applyProtection="1">
      <alignment horizontal="center"/>
      <protection locked="0"/>
    </xf>
    <xf numFmtId="164" fontId="1" fillId="0" borderId="0" xfId="0" applyFont="1" applyAlignment="1" applyProtection="1">
      <alignment horizontal="centerContinuous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6" fontId="1" fillId="0" borderId="0" xfId="0" applyNumberFormat="1" applyFont="1" applyProtection="1">
      <protection locked="0"/>
    </xf>
    <xf numFmtId="41" fontId="1" fillId="3" borderId="0" xfId="0" applyNumberFormat="1" applyFont="1" applyFill="1" applyProtection="1">
      <protection locked="0"/>
    </xf>
    <xf numFmtId="164" fontId="1" fillId="3" borderId="0" xfId="0" applyFont="1" applyFill="1" applyProtection="1">
      <protection locked="0"/>
    </xf>
    <xf numFmtId="167" fontId="1" fillId="0" borderId="0" xfId="0" applyNumberFormat="1" applyFont="1" applyProtection="1">
      <protection locked="0"/>
    </xf>
    <xf numFmtId="42" fontId="5" fillId="0" borderId="0" xfId="0" applyNumberFormat="1" applyFont="1" applyAlignment="1" applyProtection="1">
      <alignment horizontal="center"/>
      <protection locked="0"/>
    </xf>
    <xf numFmtId="166" fontId="1" fillId="0" borderId="0" xfId="1" applyNumberFormat="1" applyFont="1" applyProtection="1">
      <protection locked="0"/>
    </xf>
    <xf numFmtId="10" fontId="1" fillId="0" borderId="0" xfId="4" applyNumberFormat="1" applyFont="1" applyProtection="1">
      <protection locked="0"/>
    </xf>
    <xf numFmtId="42" fontId="1" fillId="0" borderId="0" xfId="726" applyNumberFormat="1" applyFont="1" applyProtection="1">
      <protection locked="0"/>
    </xf>
    <xf numFmtId="38" fontId="1" fillId="0" borderId="0" xfId="726" applyNumberFormat="1" applyFont="1" applyProtection="1">
      <protection locked="0"/>
    </xf>
    <xf numFmtId="41" fontId="1" fillId="0" borderId="0" xfId="726" applyNumberFormat="1" applyFont="1" applyProtection="1">
      <protection locked="0"/>
    </xf>
    <xf numFmtId="41" fontId="1" fillId="0" borderId="2" xfId="726" applyNumberFormat="1" applyFont="1" applyBorder="1" applyProtection="1">
      <protection locked="0"/>
    </xf>
    <xf numFmtId="10" fontId="1" fillId="0" borderId="0" xfId="4" applyNumberFormat="1" applyFont="1" applyFill="1" applyProtection="1">
      <protection locked="0"/>
    </xf>
    <xf numFmtId="10" fontId="1" fillId="0" borderId="0" xfId="4" applyNumberFormat="1" applyFont="1" applyBorder="1" applyProtection="1">
      <protection locked="0"/>
    </xf>
    <xf numFmtId="164" fontId="1" fillId="0" borderId="0" xfId="0" applyFont="1" applyAlignment="1" applyProtection="1">
      <alignment horizontal="right"/>
      <protection locked="0"/>
    </xf>
    <xf numFmtId="10" fontId="1" fillId="0" borderId="0" xfId="0" applyNumberFormat="1" applyFont="1" applyAlignment="1" applyProtection="1">
      <alignment horizontal="right"/>
      <protection locked="0"/>
    </xf>
    <xf numFmtId="42" fontId="1" fillId="0" borderId="0" xfId="0" applyNumberFormat="1" applyFont="1" applyAlignment="1" applyProtection="1">
      <alignment horizontal="right"/>
      <protection locked="0"/>
    </xf>
    <xf numFmtId="41" fontId="1" fillId="0" borderId="0" xfId="0" applyNumberFormat="1" applyFont="1" applyAlignment="1" applyProtection="1">
      <alignment horizontal="right"/>
      <protection locked="0"/>
    </xf>
    <xf numFmtId="41" fontId="1" fillId="0" borderId="2" xfId="0" applyNumberFormat="1" applyFont="1" applyBorder="1" applyAlignment="1" applyProtection="1">
      <alignment horizontal="right"/>
      <protection locked="0"/>
    </xf>
    <xf numFmtId="0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applyFont="1" applyAlignment="1" applyProtection="1">
      <alignment horizontal="fill"/>
      <protection locked="0"/>
    </xf>
    <xf numFmtId="164" fontId="1" fillId="0" borderId="2" xfId="0" applyFont="1" applyBorder="1" applyProtection="1">
      <protection locked="0"/>
    </xf>
    <xf numFmtId="164" fontId="1" fillId="0" borderId="1" xfId="0" applyFont="1" applyBorder="1" applyProtection="1">
      <protection locked="0"/>
    </xf>
    <xf numFmtId="0" fontId="1" fillId="0" borderId="0" xfId="3" applyAlignment="1" applyProtection="1">
      <alignment horizontal="center"/>
      <protection locked="0"/>
    </xf>
    <xf numFmtId="0" fontId="1" fillId="0" borderId="0" xfId="3" applyProtection="1">
      <protection locked="0"/>
    </xf>
    <xf numFmtId="167" fontId="1" fillId="0" borderId="0" xfId="3" applyNumberFormat="1" applyProtection="1">
      <protection locked="0"/>
    </xf>
    <xf numFmtId="42" fontId="1" fillId="0" borderId="0" xfId="3" applyNumberFormat="1" applyProtection="1">
      <protection locked="0"/>
    </xf>
    <xf numFmtId="41" fontId="1" fillId="0" borderId="2" xfId="3" applyNumberFormat="1" applyBorder="1" applyProtection="1">
      <protection locked="0"/>
    </xf>
    <xf numFmtId="41" fontId="1" fillId="0" borderId="0" xfId="3" applyNumberFormat="1" applyProtection="1">
      <protection locked="0"/>
    </xf>
    <xf numFmtId="41" fontId="1" fillId="0" borderId="0" xfId="3" applyNumberFormat="1" applyAlignment="1" applyProtection="1">
      <alignment horizontal="center"/>
      <protection locked="0"/>
    </xf>
    <xf numFmtId="43" fontId="1" fillId="0" borderId="0" xfId="1" applyFont="1" applyProtection="1">
      <protection locked="0"/>
    </xf>
    <xf numFmtId="42" fontId="1" fillId="0" borderId="4" xfId="3" applyNumberFormat="1" applyBorder="1" applyProtection="1">
      <protection locked="0"/>
    </xf>
    <xf numFmtId="42" fontId="1" fillId="0" borderId="0" xfId="3" applyNumberFormat="1" applyAlignment="1" applyProtection="1">
      <alignment horizontal="center"/>
      <protection locked="0"/>
    </xf>
    <xf numFmtId="42" fontId="18" fillId="0" borderId="0" xfId="3" applyNumberFormat="1" applyFont="1" applyAlignment="1" applyProtection="1">
      <alignment horizontal="center"/>
      <protection locked="0"/>
    </xf>
    <xf numFmtId="42" fontId="1" fillId="0" borderId="0" xfId="1654" applyNumberFormat="1" applyFont="1"/>
    <xf numFmtId="0" fontId="1" fillId="0" borderId="0" xfId="0" applyNumberFormat="1" applyFont="1" applyProtection="1">
      <protection locked="0"/>
    </xf>
    <xf numFmtId="38" fontId="1" fillId="0" borderId="0" xfId="1654" applyNumberFormat="1" applyFont="1"/>
    <xf numFmtId="41" fontId="1" fillId="0" borderId="0" xfId="1654" applyNumberFormat="1" applyFont="1"/>
    <xf numFmtId="41" fontId="1" fillId="0" borderId="0" xfId="1654" applyNumberFormat="1" applyFont="1" applyProtection="1">
      <protection locked="0"/>
    </xf>
    <xf numFmtId="0" fontId="1" fillId="0" borderId="0" xfId="0" quotePrefix="1" applyNumberFormat="1" applyFont="1" applyProtection="1">
      <protection locked="0"/>
    </xf>
    <xf numFmtId="41" fontId="1" fillId="0" borderId="4" xfId="3" applyNumberFormat="1" applyBorder="1" applyProtection="1">
      <protection locked="0"/>
    </xf>
    <xf numFmtId="41" fontId="18" fillId="0" borderId="0" xfId="3" applyNumberFormat="1" applyFont="1" applyAlignment="1" applyProtection="1">
      <alignment horizontal="center"/>
      <protection locked="0"/>
    </xf>
    <xf numFmtId="37" fontId="1" fillId="0" borderId="0" xfId="0" applyNumberFormat="1" applyFont="1" applyProtection="1">
      <protection locked="0"/>
    </xf>
    <xf numFmtId="43" fontId="1" fillId="0" borderId="0" xfId="0" applyNumberFormat="1" applyFont="1" applyProtection="1">
      <protection locked="0"/>
    </xf>
    <xf numFmtId="3" fontId="17" fillId="0" borderId="0" xfId="0" quotePrefix="1" applyNumberFormat="1" applyFont="1" applyAlignment="1" applyProtection="1">
      <alignment horizontal="center"/>
      <protection locked="0"/>
    </xf>
    <xf numFmtId="41" fontId="1" fillId="0" borderId="0" xfId="2" applyNumberFormat="1" applyFont="1" applyFill="1" applyProtection="1">
      <protection locked="0"/>
    </xf>
    <xf numFmtId="167" fontId="1" fillId="0" borderId="0" xfId="0" quotePrefix="1" applyNumberFormat="1" applyFont="1" applyProtection="1">
      <protection locked="0"/>
    </xf>
    <xf numFmtId="164" fontId="22" fillId="0" borderId="0" xfId="0" applyFont="1" applyProtection="1">
      <protection locked="0"/>
    </xf>
    <xf numFmtId="164" fontId="22" fillId="0" borderId="0" xfId="0" quotePrefix="1" applyFont="1" applyAlignment="1" applyProtection="1">
      <alignment horizontal="center"/>
      <protection locked="0"/>
    </xf>
    <xf numFmtId="42" fontId="18" fillId="0" borderId="0" xfId="0" applyNumberFormat="1" applyFont="1" applyAlignment="1" applyProtection="1">
      <alignment horizontal="center" vertical="center"/>
      <protection locked="0"/>
    </xf>
    <xf numFmtId="164" fontId="1" fillId="0" borderId="0" xfId="1654" applyFont="1" applyAlignment="1">
      <alignment horizontal="centerContinuous"/>
    </xf>
    <xf numFmtId="164" fontId="1" fillId="0" borderId="0" xfId="1654" applyFont="1"/>
    <xf numFmtId="164" fontId="1" fillId="0" borderId="0" xfId="1654" applyFont="1" applyAlignment="1" applyProtection="1">
      <alignment horizontal="centerContinuous"/>
      <protection locked="0"/>
    </xf>
    <xf numFmtId="164" fontId="1" fillId="0" borderId="0" xfId="1654" applyFont="1" applyAlignment="1">
      <alignment horizontal="center"/>
    </xf>
    <xf numFmtId="164" fontId="1" fillId="0" borderId="0" xfId="1654" applyFont="1" applyAlignment="1">
      <alignment horizontal="left"/>
    </xf>
    <xf numFmtId="164" fontId="21" fillId="0" borderId="0" xfId="1654" applyFont="1" applyAlignment="1">
      <alignment horizontal="center"/>
    </xf>
    <xf numFmtId="164" fontId="21" fillId="0" borderId="0" xfId="1654" applyFont="1" applyAlignment="1">
      <alignment horizontal="left"/>
    </xf>
    <xf numFmtId="164" fontId="1" fillId="0" borderId="2" xfId="1654" applyFont="1" applyBorder="1" applyAlignment="1">
      <alignment horizontal="center"/>
    </xf>
    <xf numFmtId="167" fontId="1" fillId="0" borderId="0" xfId="1655" quotePrefix="1" applyNumberFormat="1" applyFont="1" applyAlignment="1" applyProtection="1">
      <alignment horizontal="left"/>
      <protection locked="0"/>
    </xf>
    <xf numFmtId="42" fontId="1" fillId="0" borderId="0" xfId="1654" applyNumberFormat="1" applyFont="1" applyProtection="1">
      <protection locked="0"/>
    </xf>
    <xf numFmtId="167" fontId="1" fillId="0" borderId="0" xfId="1655" applyNumberFormat="1" applyFont="1" applyAlignment="1" applyProtection="1">
      <alignment horizontal="centerContinuous"/>
      <protection locked="0"/>
    </xf>
    <xf numFmtId="164" fontId="1" fillId="0" borderId="0" xfId="1654" applyFont="1" applyProtection="1">
      <protection locked="0"/>
    </xf>
    <xf numFmtId="167" fontId="1" fillId="0" borderId="0" xfId="1655" applyNumberFormat="1" applyFont="1" applyAlignment="1">
      <alignment horizontal="centerContinuous"/>
    </xf>
    <xf numFmtId="167" fontId="1" fillId="0" borderId="0" xfId="1654" applyNumberFormat="1" applyFont="1" applyAlignment="1">
      <alignment horizontal="centerContinuous"/>
    </xf>
    <xf numFmtId="167" fontId="1" fillId="0" borderId="0" xfId="1654" quotePrefix="1" applyNumberFormat="1" applyFont="1" applyAlignment="1" applyProtection="1">
      <alignment horizontal="left"/>
      <protection locked="0"/>
    </xf>
    <xf numFmtId="42" fontId="1" fillId="0" borderId="3" xfId="1654" applyNumberFormat="1" applyFont="1" applyBorder="1"/>
    <xf numFmtId="164" fontId="1" fillId="0" borderId="0" xfId="1654" quotePrefix="1" applyFont="1"/>
    <xf numFmtId="164" fontId="1" fillId="0" borderId="0" xfId="1654" quotePrefix="1" applyFont="1" applyAlignment="1">
      <alignment horizontal="left"/>
    </xf>
    <xf numFmtId="168" fontId="1" fillId="0" borderId="0" xfId="1654" applyNumberFormat="1" applyFont="1" applyAlignment="1">
      <alignment horizontal="left"/>
    </xf>
    <xf numFmtId="164" fontId="19" fillId="0" borderId="0" xfId="0" applyFont="1" applyProtection="1">
      <protection locked="0"/>
    </xf>
    <xf numFmtId="169" fontId="1" fillId="0" borderId="0" xfId="0" applyNumberFormat="1" applyFont="1" applyAlignment="1" applyProtection="1">
      <alignment horizontal="right"/>
      <protection locked="0"/>
    </xf>
    <xf numFmtId="169" fontId="1" fillId="0" borderId="0" xfId="0" applyNumberFormat="1" applyFont="1" applyProtection="1">
      <protection locked="0"/>
    </xf>
    <xf numFmtId="164" fontId="23" fillId="0" borderId="0" xfId="0" applyFont="1" applyAlignment="1" applyProtection="1">
      <alignment horizontal="left"/>
      <protection locked="0"/>
    </xf>
    <xf numFmtId="164" fontId="19" fillId="0" borderId="0" xfId="1654" applyFont="1" applyAlignment="1">
      <alignment horizontal="center"/>
    </xf>
    <xf numFmtId="164" fontId="19" fillId="0" borderId="0" xfId="1654" applyFont="1"/>
    <xf numFmtId="38" fontId="19" fillId="0" borderId="0" xfId="1654" applyNumberFormat="1" applyFont="1"/>
    <xf numFmtId="42" fontId="19" fillId="0" borderId="0" xfId="1654" applyNumberFormat="1" applyFont="1"/>
    <xf numFmtId="167" fontId="22" fillId="0" borderId="0" xfId="0" applyNumberFormat="1" applyFont="1" applyProtection="1">
      <protection locked="0"/>
    </xf>
    <xf numFmtId="38" fontId="1" fillId="0" borderId="0" xfId="0" applyNumberFormat="1" applyFont="1" applyAlignment="1" applyProtection="1">
      <alignment horizontal="right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42" fontId="1" fillId="0" borderId="3" xfId="0" applyNumberFormat="1" applyFont="1" applyBorder="1" applyAlignment="1" applyProtection="1">
      <alignment horizontal="right"/>
      <protection locked="0"/>
    </xf>
    <xf numFmtId="166" fontId="1" fillId="0" borderId="0" xfId="1" applyNumberFormat="1" applyFont="1" applyFill="1" applyProtection="1">
      <protection locked="0"/>
    </xf>
    <xf numFmtId="164" fontId="1" fillId="0" borderId="3" xfId="0" applyFont="1" applyBorder="1" applyProtection="1">
      <protection locked="0"/>
    </xf>
    <xf numFmtId="42" fontId="20" fillId="0" borderId="0" xfId="0" applyNumberFormat="1" applyFont="1" applyProtection="1">
      <protection locked="0"/>
    </xf>
    <xf numFmtId="6" fontId="1" fillId="0" borderId="0" xfId="1654" applyNumberFormat="1" applyFont="1" applyProtection="1">
      <protection locked="0"/>
    </xf>
    <xf numFmtId="6" fontId="1" fillId="0" borderId="0" xfId="2" applyNumberFormat="1" applyFont="1" applyFill="1" applyBorder="1" applyProtection="1">
      <protection locked="0"/>
    </xf>
    <xf numFmtId="164" fontId="21" fillId="0" borderId="0" xfId="0" applyFont="1" applyAlignment="1" applyProtection="1">
      <alignment horizontal="center"/>
      <protection locked="0"/>
    </xf>
    <xf numFmtId="164" fontId="21" fillId="0" borderId="0" xfId="0" applyFont="1" applyProtection="1">
      <protection locked="0"/>
    </xf>
    <xf numFmtId="164" fontId="21" fillId="0" borderId="0" xfId="0" applyFont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  <xf numFmtId="170" fontId="1" fillId="0" borderId="0" xfId="2" applyNumberFormat="1" applyFont="1" applyProtection="1">
      <protection locked="0"/>
    </xf>
    <xf numFmtId="10" fontId="1" fillId="0" borderId="0" xfId="4" applyNumberFormat="1" applyFont="1" applyFill="1" applyAlignment="1" applyProtection="1">
      <alignment horizontal="center"/>
      <protection locked="0"/>
    </xf>
    <xf numFmtId="164" fontId="23" fillId="0" borderId="0" xfId="0" applyFont="1" applyProtection="1">
      <protection locked="0"/>
    </xf>
    <xf numFmtId="43" fontId="1" fillId="0" borderId="0" xfId="1" applyFont="1" applyFill="1" applyProtection="1">
      <protection locked="0"/>
    </xf>
    <xf numFmtId="164" fontId="1" fillId="0" borderId="0" xfId="50" applyNumberFormat="1"/>
    <xf numFmtId="164" fontId="1" fillId="0" borderId="0" xfId="50" applyNumberFormat="1" applyAlignment="1">
      <alignment horizontal="centerContinuous"/>
    </xf>
    <xf numFmtId="37" fontId="1" fillId="0" borderId="0" xfId="50" applyNumberFormat="1"/>
    <xf numFmtId="165" fontId="1" fillId="0" borderId="0" xfId="50" applyNumberFormat="1" applyAlignment="1">
      <alignment horizontal="center"/>
    </xf>
    <xf numFmtId="164" fontId="1" fillId="0" borderId="0" xfId="50" quotePrefix="1" applyNumberFormat="1" applyAlignment="1">
      <alignment horizontal="center"/>
    </xf>
    <xf numFmtId="3" fontId="1" fillId="0" borderId="0" xfId="50" applyNumberFormat="1"/>
    <xf numFmtId="37" fontId="1" fillId="0" borderId="0" xfId="50" applyNumberFormat="1" applyAlignment="1">
      <alignment horizontal="center"/>
    </xf>
    <xf numFmtId="165" fontId="1" fillId="0" borderId="0" xfId="50" quotePrefix="1" applyNumberFormat="1" applyAlignment="1">
      <alignment horizontal="center"/>
    </xf>
    <xf numFmtId="164" fontId="1" fillId="0" borderId="0" xfId="50" applyNumberFormat="1" applyAlignment="1">
      <alignment horizontal="center"/>
    </xf>
    <xf numFmtId="37" fontId="1" fillId="0" borderId="0" xfId="50" quotePrefix="1" applyNumberFormat="1" applyAlignment="1">
      <alignment horizontal="center"/>
    </xf>
    <xf numFmtId="0" fontId="1" fillId="0" borderId="0" xfId="50" quotePrefix="1" applyAlignment="1">
      <alignment horizontal="center"/>
    </xf>
    <xf numFmtId="1" fontId="17" fillId="0" borderId="0" xfId="50" quotePrefix="1" applyNumberFormat="1" applyFont="1" applyAlignment="1">
      <alignment horizontal="center"/>
    </xf>
    <xf numFmtId="3" fontId="1" fillId="0" borderId="0" xfId="50" applyNumberFormat="1" applyAlignment="1">
      <alignment horizontal="center"/>
    </xf>
    <xf numFmtId="3" fontId="1" fillId="0" borderId="0" xfId="1658" applyNumberFormat="1" applyFont="1" applyAlignment="1">
      <alignment horizontal="center"/>
    </xf>
    <xf numFmtId="3" fontId="17" fillId="0" borderId="0" xfId="50" applyNumberFormat="1" applyFont="1" applyAlignment="1">
      <alignment horizontal="center"/>
    </xf>
    <xf numFmtId="164" fontId="1" fillId="0" borderId="2" xfId="50" applyNumberFormat="1" applyBorder="1" applyAlignment="1">
      <alignment horizontal="center"/>
    </xf>
    <xf numFmtId="164" fontId="17" fillId="0" borderId="2" xfId="50" applyNumberFormat="1" applyFont="1" applyBorder="1" applyAlignment="1">
      <alignment horizontal="center"/>
    </xf>
    <xf numFmtId="3" fontId="1" fillId="0" borderId="2" xfId="50" quotePrefix="1" applyNumberFormat="1" applyBorder="1" applyAlignment="1">
      <alignment horizontal="center"/>
    </xf>
    <xf numFmtId="3" fontId="1" fillId="0" borderId="2" xfId="50" applyNumberFormat="1" applyBorder="1" applyAlignment="1">
      <alignment horizontal="center"/>
    </xf>
    <xf numFmtId="3" fontId="17" fillId="0" borderId="2" xfId="50" applyNumberFormat="1" applyFont="1" applyBorder="1" applyAlignment="1">
      <alignment horizontal="center"/>
    </xf>
    <xf numFmtId="3" fontId="1" fillId="0" borderId="2" xfId="1658" applyNumberFormat="1" applyFont="1" applyBorder="1" applyAlignment="1">
      <alignment horizontal="center"/>
    </xf>
    <xf numFmtId="0" fontId="1" fillId="0" borderId="0" xfId="50" applyAlignment="1">
      <alignment horizontal="center"/>
    </xf>
    <xf numFmtId="0" fontId="1" fillId="0" borderId="0" xfId="50" quotePrefix="1" applyAlignment="1">
      <alignment horizontal="left"/>
    </xf>
    <xf numFmtId="0" fontId="1" fillId="0" borderId="0" xfId="50"/>
    <xf numFmtId="43" fontId="1" fillId="0" borderId="0" xfId="50" quotePrefix="1" applyNumberFormat="1" applyAlignment="1">
      <alignment horizontal="center"/>
    </xf>
    <xf numFmtId="38" fontId="1" fillId="0" borderId="0" xfId="50" applyNumberFormat="1"/>
    <xf numFmtId="167" fontId="1" fillId="0" borderId="0" xfId="50" applyNumberFormat="1" applyProtection="1">
      <protection locked="0"/>
    </xf>
    <xf numFmtId="42" fontId="1" fillId="0" borderId="0" xfId="50" applyNumberFormat="1"/>
    <xf numFmtId="42" fontId="1" fillId="0" borderId="0" xfId="50" quotePrefix="1" applyNumberFormat="1" applyAlignment="1">
      <alignment horizontal="center"/>
    </xf>
    <xf numFmtId="42" fontId="1" fillId="0" borderId="0" xfId="50" applyNumberFormat="1" applyAlignment="1">
      <alignment horizontal="center"/>
    </xf>
    <xf numFmtId="42" fontId="1" fillId="0" borderId="2" xfId="50" quotePrefix="1" applyNumberFormat="1" applyBorder="1" applyAlignment="1">
      <alignment horizontal="center"/>
    </xf>
    <xf numFmtId="41" fontId="1" fillId="0" borderId="2" xfId="50" quotePrefix="1" applyNumberFormat="1" applyBorder="1" applyAlignment="1">
      <alignment horizontal="center"/>
    </xf>
    <xf numFmtId="167" fontId="1" fillId="0" borderId="0" xfId="50" applyNumberFormat="1"/>
    <xf numFmtId="41" fontId="1" fillId="0" borderId="0" xfId="50" quotePrefix="1" applyNumberFormat="1" applyAlignment="1">
      <alignment horizontal="center"/>
    </xf>
    <xf numFmtId="43" fontId="1" fillId="0" borderId="0" xfId="50" applyNumberFormat="1"/>
    <xf numFmtId="41" fontId="1" fillId="0" borderId="0" xfId="50" applyNumberFormat="1" applyAlignment="1">
      <alignment horizontal="center"/>
    </xf>
    <xf numFmtId="41" fontId="1" fillId="0" borderId="0" xfId="50" quotePrefix="1" applyNumberFormat="1"/>
    <xf numFmtId="41" fontId="1" fillId="0" borderId="0" xfId="50" applyNumberFormat="1"/>
    <xf numFmtId="41" fontId="1" fillId="0" borderId="5" xfId="50" applyNumberFormat="1" applyBorder="1"/>
    <xf numFmtId="41" fontId="1" fillId="0" borderId="5" xfId="50" quotePrefix="1" applyNumberFormat="1" applyBorder="1" applyAlignment="1">
      <alignment horizontal="center"/>
    </xf>
    <xf numFmtId="167" fontId="1" fillId="0" borderId="0" xfId="50" quotePrefix="1" applyNumberFormat="1" applyAlignment="1">
      <alignment horizontal="left"/>
    </xf>
    <xf numFmtId="42" fontId="1" fillId="0" borderId="4" xfId="50" applyNumberFormat="1" applyBorder="1"/>
    <xf numFmtId="42" fontId="18" fillId="0" borderId="0" xfId="50" applyNumberFormat="1" applyFont="1" applyAlignment="1">
      <alignment horizontal="center"/>
    </xf>
    <xf numFmtId="164" fontId="1" fillId="0" borderId="0" xfId="50" applyNumberFormat="1" applyAlignment="1">
      <alignment vertical="top"/>
    </xf>
    <xf numFmtId="43" fontId="19" fillId="0" borderId="0" xfId="1660" applyFont="1" applyAlignment="1">
      <alignment horizontal="center"/>
    </xf>
    <xf numFmtId="42" fontId="32" fillId="0" borderId="0" xfId="3" applyNumberFormat="1" applyFont="1" applyProtection="1">
      <protection locked="0"/>
    </xf>
    <xf numFmtId="41" fontId="32" fillId="0" borderId="0" xfId="0" applyNumberFormat="1" applyFont="1" applyProtection="1">
      <protection locked="0"/>
    </xf>
    <xf numFmtId="164" fontId="32" fillId="0" borderId="0" xfId="0" applyFont="1" applyProtection="1">
      <protection locked="0"/>
    </xf>
    <xf numFmtId="41" fontId="32" fillId="0" borderId="0" xfId="0" applyNumberFormat="1" applyFont="1" applyAlignment="1" applyProtection="1">
      <alignment horizontal="center"/>
      <protection locked="0"/>
    </xf>
    <xf numFmtId="42" fontId="32" fillId="0" borderId="0" xfId="0" applyNumberFormat="1" applyFont="1" applyProtection="1">
      <protection locked="0"/>
    </xf>
    <xf numFmtId="41" fontId="32" fillId="0" borderId="2" xfId="3" applyNumberFormat="1" applyFont="1" applyBorder="1" applyProtection="1">
      <protection locked="0"/>
    </xf>
    <xf numFmtId="41" fontId="32" fillId="0" borderId="2" xfId="0" applyNumberFormat="1" applyFont="1" applyBorder="1" applyProtection="1">
      <protection locked="0"/>
    </xf>
    <xf numFmtId="41" fontId="32" fillId="0" borderId="4" xfId="3" applyNumberFormat="1" applyFont="1" applyBorder="1" applyProtection="1">
      <protection locked="0"/>
    </xf>
    <xf numFmtId="41" fontId="32" fillId="0" borderId="0" xfId="3" applyNumberFormat="1" applyFont="1" applyAlignment="1" applyProtection="1">
      <alignment horizontal="center"/>
      <protection locked="0"/>
    </xf>
    <xf numFmtId="41" fontId="32" fillId="0" borderId="0" xfId="3" applyNumberFormat="1" applyFont="1" applyProtection="1">
      <protection locked="0"/>
    </xf>
    <xf numFmtId="0" fontId="26" fillId="0" borderId="0" xfId="1659" applyFont="1" applyAlignment="1">
      <alignment horizontal="centerContinuous" vertical="center"/>
    </xf>
    <xf numFmtId="37" fontId="27" fillId="0" borderId="0" xfId="1659" applyNumberFormat="1" applyFont="1" applyAlignment="1">
      <alignment horizontal="centerContinuous"/>
    </xf>
    <xf numFmtId="0" fontId="27" fillId="0" borderId="0" xfId="1659" applyFont="1" applyAlignment="1">
      <alignment horizontal="centerContinuous"/>
    </xf>
    <xf numFmtId="0" fontId="27" fillId="0" borderId="0" xfId="1659" applyFont="1"/>
    <xf numFmtId="0" fontId="26" fillId="0" borderId="0" xfId="1659" applyFont="1" applyAlignment="1">
      <alignment horizontal="centerContinuous"/>
    </xf>
    <xf numFmtId="0" fontId="31" fillId="0" borderId="0" xfId="1659" applyFont="1" applyAlignment="1">
      <alignment horizontal="centerContinuous"/>
    </xf>
    <xf numFmtId="0" fontId="26" fillId="0" borderId="0" xfId="1659" applyFont="1" applyAlignment="1">
      <alignment horizontal="center"/>
    </xf>
    <xf numFmtId="0" fontId="28" fillId="0" borderId="0" xfId="1659" quotePrefix="1" applyFont="1" applyAlignment="1">
      <alignment horizontal="centerContinuous"/>
    </xf>
    <xf numFmtId="0" fontId="26" fillId="0" borderId="0" xfId="1659" quotePrefix="1" applyFont="1" applyAlignment="1">
      <alignment horizontal="center"/>
    </xf>
    <xf numFmtId="0" fontId="26" fillId="0" borderId="0" xfId="1659" applyFont="1" applyAlignment="1">
      <alignment horizontal="centerContinuous" wrapText="1"/>
    </xf>
    <xf numFmtId="0" fontId="5" fillId="0" borderId="2" xfId="1659" applyFont="1" applyBorder="1" applyAlignment="1">
      <alignment horizontal="center" wrapText="1"/>
    </xf>
    <xf numFmtId="0" fontId="26" fillId="0" borderId="0" xfId="1659" quotePrefix="1" applyFont="1" applyAlignment="1">
      <alignment horizontal="center" wrapText="1"/>
    </xf>
    <xf numFmtId="0" fontId="26" fillId="0" borderId="0" xfId="1659" applyFont="1" applyAlignment="1">
      <alignment horizontal="center" wrapText="1"/>
    </xf>
    <xf numFmtId="0" fontId="29" fillId="0" borderId="0" xfId="1659" applyFont="1" applyAlignment="1">
      <alignment horizontal="left"/>
    </xf>
    <xf numFmtId="37" fontId="27" fillId="0" borderId="0" xfId="1659" applyNumberFormat="1" applyFont="1"/>
    <xf numFmtId="37" fontId="26" fillId="0" borderId="0" xfId="1659" applyNumberFormat="1" applyFont="1"/>
    <xf numFmtId="0" fontId="26" fillId="0" borderId="0" xfId="1659" applyFont="1"/>
    <xf numFmtId="1" fontId="27" fillId="0" borderId="0" xfId="1659" applyNumberFormat="1" applyFont="1"/>
    <xf numFmtId="43" fontId="27" fillId="0" borderId="0" xfId="1660" applyFont="1" applyFill="1" applyBorder="1" applyAlignment="1" applyProtection="1"/>
    <xf numFmtId="37" fontId="27" fillId="0" borderId="2" xfId="1659" applyNumberFormat="1" applyFont="1" applyBorder="1"/>
    <xf numFmtId="43" fontId="26" fillId="0" borderId="0" xfId="1660" applyFont="1" applyFill="1" applyBorder="1" applyAlignment="1" applyProtection="1"/>
    <xf numFmtId="0" fontId="26" fillId="0" borderId="0" xfId="1659" applyFont="1" applyAlignment="1">
      <alignment vertical="center"/>
    </xf>
    <xf numFmtId="37" fontId="17" fillId="0" borderId="2" xfId="1659" applyNumberFormat="1" applyFont="1" applyBorder="1"/>
    <xf numFmtId="0" fontId="26" fillId="0" borderId="0" xfId="1659" applyFont="1" applyAlignment="1">
      <alignment horizontal="left"/>
    </xf>
    <xf numFmtId="37" fontId="27" fillId="0" borderId="5" xfId="1659" applyNumberFormat="1" applyFont="1" applyBorder="1"/>
    <xf numFmtId="37" fontId="26" fillId="0" borderId="4" xfId="1659" applyNumberFormat="1" applyFont="1" applyBorder="1"/>
    <xf numFmtId="0" fontId="27" fillId="0" borderId="0" xfId="1659" applyFont="1" applyAlignment="1">
      <alignment horizontal="left"/>
    </xf>
    <xf numFmtId="37" fontId="27" fillId="0" borderId="0" xfId="1659" applyNumberFormat="1" applyFont="1" applyAlignment="1">
      <alignment horizontal="center"/>
    </xf>
    <xf numFmtId="37" fontId="27" fillId="0" borderId="0" xfId="1659" applyNumberFormat="1" applyFont="1" applyAlignment="1">
      <alignment horizontal="right"/>
    </xf>
    <xf numFmtId="37" fontId="27" fillId="0" borderId="4" xfId="1659" applyNumberFormat="1" applyFont="1" applyBorder="1"/>
    <xf numFmtId="0" fontId="27" fillId="0" borderId="0" xfId="1659" applyFont="1" applyAlignment="1">
      <alignment horizontal="right"/>
    </xf>
    <xf numFmtId="171" fontId="19" fillId="0" borderId="0" xfId="1661" applyNumberFormat="1" applyFont="1" applyFill="1" applyBorder="1" applyAlignment="1" applyProtection="1"/>
    <xf numFmtId="0" fontId="27" fillId="0" borderId="0" xfId="1659" applyFont="1" applyAlignment="1">
      <alignment vertical="center"/>
    </xf>
    <xf numFmtId="1" fontId="27" fillId="0" borderId="0" xfId="1659" applyNumberFormat="1" applyFont="1" applyAlignment="1">
      <alignment horizontal="left"/>
    </xf>
    <xf numFmtId="164" fontId="1" fillId="0" borderId="0" xfId="0" applyFont="1" applyAlignment="1" applyProtection="1">
      <alignment horizontal="center"/>
      <protection locked="0"/>
    </xf>
    <xf numFmtId="3" fontId="1" fillId="0" borderId="2" xfId="0" applyNumberFormat="1" applyFont="1" applyBorder="1" applyAlignment="1" applyProtection="1">
      <alignment horizontal="center"/>
      <protection locked="0"/>
    </xf>
    <xf numFmtId="167" fontId="1" fillId="0" borderId="0" xfId="0" applyNumberFormat="1" applyFont="1" applyAlignment="1" applyProtection="1">
      <alignment horizontal="center"/>
      <protection locked="0"/>
    </xf>
    <xf numFmtId="5" fontId="1" fillId="0" borderId="0" xfId="0" applyNumberFormat="1" applyFont="1" applyAlignment="1" applyProtection="1">
      <alignment horizontal="center"/>
      <protection locked="0"/>
    </xf>
    <xf numFmtId="164" fontId="1" fillId="0" borderId="0" xfId="0" quotePrefix="1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164" fontId="1" fillId="0" borderId="0" xfId="50" quotePrefix="1" applyNumberFormat="1" applyAlignment="1">
      <alignment horizontal="center"/>
    </xf>
    <xf numFmtId="164" fontId="1" fillId="0" borderId="0" xfId="50" applyNumberFormat="1" applyAlignment="1">
      <alignment horizontal="center"/>
    </xf>
    <xf numFmtId="3" fontId="1" fillId="0" borderId="2" xfId="50" applyNumberFormat="1" applyBorder="1" applyAlignment="1">
      <alignment horizontal="center"/>
    </xf>
  </cellXfs>
  <cellStyles count="1662">
    <cellStyle name="Comma" xfId="1" builtinId="3"/>
    <cellStyle name="Comma 2" xfId="1660" xr:uid="{598DBAB4-E51E-4E87-840F-23A7DA8D72E9}"/>
    <cellStyle name="Comma 2 2" xfId="60" xr:uid="{00000000-0005-0000-0000-000001000000}"/>
    <cellStyle name="Comma 2 2 2" xfId="1207" xr:uid="{00000000-0005-0000-0000-000002000000}"/>
    <cellStyle name="Comma 2 2 3" xfId="745" xr:uid="{00000000-0005-0000-0000-000003000000}"/>
    <cellStyle name="Comma 3" xfId="41" xr:uid="{00000000-0005-0000-0000-000004000000}"/>
    <cellStyle name="Comma 3 10" xfId="382" xr:uid="{00000000-0005-0000-0000-000005000000}"/>
    <cellStyle name="Comma 3 11" xfId="411" xr:uid="{00000000-0005-0000-0000-000006000000}"/>
    <cellStyle name="Comma 3 12" xfId="440" xr:uid="{00000000-0005-0000-0000-000007000000}"/>
    <cellStyle name="Comma 3 13" xfId="469" xr:uid="{00000000-0005-0000-0000-000008000000}"/>
    <cellStyle name="Comma 3 14" xfId="498" xr:uid="{00000000-0005-0000-0000-000009000000}"/>
    <cellStyle name="Comma 3 15" xfId="528" xr:uid="{00000000-0005-0000-0000-00000A000000}"/>
    <cellStyle name="Comma 3 16" xfId="558" xr:uid="{00000000-0005-0000-0000-00000B000000}"/>
    <cellStyle name="Comma 3 17" xfId="588" xr:uid="{00000000-0005-0000-0000-00000C000000}"/>
    <cellStyle name="Comma 3 18" xfId="618" xr:uid="{00000000-0005-0000-0000-00000D000000}"/>
    <cellStyle name="Comma 3 19" xfId="648" xr:uid="{00000000-0005-0000-0000-00000E000000}"/>
    <cellStyle name="Comma 3 2" xfId="146" xr:uid="{00000000-0005-0000-0000-00000F000000}"/>
    <cellStyle name="Comma 3 20" xfId="677" xr:uid="{00000000-0005-0000-0000-000010000000}"/>
    <cellStyle name="Comma 3 21" xfId="706" xr:uid="{00000000-0005-0000-0000-000011000000}"/>
    <cellStyle name="Comma 3 3" xfId="177" xr:uid="{00000000-0005-0000-0000-000012000000}"/>
    <cellStyle name="Comma 3 4" xfId="207" xr:uid="{00000000-0005-0000-0000-000013000000}"/>
    <cellStyle name="Comma 3 5" xfId="236" xr:uid="{00000000-0005-0000-0000-000014000000}"/>
    <cellStyle name="Comma 3 6" xfId="265" xr:uid="{00000000-0005-0000-0000-000015000000}"/>
    <cellStyle name="Comma 3 7" xfId="294" xr:uid="{00000000-0005-0000-0000-000016000000}"/>
    <cellStyle name="Comma 3 8" xfId="323" xr:uid="{00000000-0005-0000-0000-000017000000}"/>
    <cellStyle name="Comma 3 9" xfId="352" xr:uid="{00000000-0005-0000-0000-000018000000}"/>
    <cellStyle name="Comma 5" xfId="161" xr:uid="{00000000-0005-0000-0000-000019000000}"/>
    <cellStyle name="Comma 5 2" xfId="728" xr:uid="{00000000-0005-0000-0000-00001A000000}"/>
    <cellStyle name="Comma 5 3" xfId="1657" xr:uid="{DCABE3B9-09BD-4B5F-8154-4BCD41AC321B}"/>
    <cellStyle name="Currency" xfId="2" builtinId="4"/>
    <cellStyle name="Currency 10" xfId="374" xr:uid="{00000000-0005-0000-0000-00001C000000}"/>
    <cellStyle name="Currency 10 2" xfId="1409" xr:uid="{00000000-0005-0000-0000-00001D000000}"/>
    <cellStyle name="Currency 10 3" xfId="947" xr:uid="{00000000-0005-0000-0000-00001E000000}"/>
    <cellStyle name="Currency 15" xfId="520" xr:uid="{00000000-0005-0000-0000-00001F000000}"/>
    <cellStyle name="Currency 15 2" xfId="1510" xr:uid="{00000000-0005-0000-0000-000020000000}"/>
    <cellStyle name="Currency 15 3" xfId="1048" xr:uid="{00000000-0005-0000-0000-000021000000}"/>
    <cellStyle name="Currency 16" xfId="550" xr:uid="{00000000-0005-0000-0000-000022000000}"/>
    <cellStyle name="Currency 16 2" xfId="1531" xr:uid="{00000000-0005-0000-0000-000023000000}"/>
    <cellStyle name="Currency 16 3" xfId="1069" xr:uid="{00000000-0005-0000-0000-000024000000}"/>
    <cellStyle name="Currency 17" xfId="580" xr:uid="{00000000-0005-0000-0000-000025000000}"/>
    <cellStyle name="Currency 17 2" xfId="1552" xr:uid="{00000000-0005-0000-0000-000026000000}"/>
    <cellStyle name="Currency 17 3" xfId="1090" xr:uid="{00000000-0005-0000-0000-000027000000}"/>
    <cellStyle name="Currency 18" xfId="610" xr:uid="{00000000-0005-0000-0000-000028000000}"/>
    <cellStyle name="Currency 18 2" xfId="1573" xr:uid="{00000000-0005-0000-0000-000029000000}"/>
    <cellStyle name="Currency 18 3" xfId="1111" xr:uid="{00000000-0005-0000-0000-00002A000000}"/>
    <cellStyle name="Currency 19" xfId="640" xr:uid="{00000000-0005-0000-0000-00002B000000}"/>
    <cellStyle name="Currency 19 2" xfId="1594" xr:uid="{00000000-0005-0000-0000-00002C000000}"/>
    <cellStyle name="Currency 19 3" xfId="1132" xr:uid="{00000000-0005-0000-0000-00002D000000}"/>
    <cellStyle name="Currency 20" xfId="669" xr:uid="{00000000-0005-0000-0000-00002E000000}"/>
    <cellStyle name="Currency 20 2" xfId="1614" xr:uid="{00000000-0005-0000-0000-00002F000000}"/>
    <cellStyle name="Currency 20 3" xfId="1152" xr:uid="{00000000-0005-0000-0000-000030000000}"/>
    <cellStyle name="Normal" xfId="0" builtinId="0"/>
    <cellStyle name="Normal 10" xfId="50" xr:uid="{00000000-0005-0000-0000-000032000000}"/>
    <cellStyle name="Normal 10 10" xfId="388" xr:uid="{00000000-0005-0000-0000-000033000000}"/>
    <cellStyle name="Normal 10 10 2" xfId="1420" xr:uid="{00000000-0005-0000-0000-000034000000}"/>
    <cellStyle name="Normal 10 10 3" xfId="958" xr:uid="{00000000-0005-0000-0000-000035000000}"/>
    <cellStyle name="Normal 10 11" xfId="417" xr:uid="{00000000-0005-0000-0000-000036000000}"/>
    <cellStyle name="Normal 10 11 2" xfId="1440" xr:uid="{00000000-0005-0000-0000-000037000000}"/>
    <cellStyle name="Normal 10 11 3" xfId="978" xr:uid="{00000000-0005-0000-0000-000038000000}"/>
    <cellStyle name="Normal 10 12" xfId="446" xr:uid="{00000000-0005-0000-0000-000039000000}"/>
    <cellStyle name="Normal 10 12 2" xfId="1460" xr:uid="{00000000-0005-0000-0000-00003A000000}"/>
    <cellStyle name="Normal 10 12 3" xfId="998" xr:uid="{00000000-0005-0000-0000-00003B000000}"/>
    <cellStyle name="Normal 10 13" xfId="475" xr:uid="{00000000-0005-0000-0000-00003C000000}"/>
    <cellStyle name="Normal 10 13 2" xfId="1480" xr:uid="{00000000-0005-0000-0000-00003D000000}"/>
    <cellStyle name="Normal 10 13 3" xfId="1018" xr:uid="{00000000-0005-0000-0000-00003E000000}"/>
    <cellStyle name="Normal 10 14" xfId="504" xr:uid="{00000000-0005-0000-0000-00003F000000}"/>
    <cellStyle name="Normal 10 14 2" xfId="1500" xr:uid="{00000000-0005-0000-0000-000040000000}"/>
    <cellStyle name="Normal 10 14 3" xfId="1038" xr:uid="{00000000-0005-0000-0000-000041000000}"/>
    <cellStyle name="Normal 10 15" xfId="534" xr:uid="{00000000-0005-0000-0000-000042000000}"/>
    <cellStyle name="Normal 10 15 2" xfId="1521" xr:uid="{00000000-0005-0000-0000-000043000000}"/>
    <cellStyle name="Normal 10 15 3" xfId="1059" xr:uid="{00000000-0005-0000-0000-000044000000}"/>
    <cellStyle name="Normal 10 16" xfId="564" xr:uid="{00000000-0005-0000-0000-000045000000}"/>
    <cellStyle name="Normal 10 16 2" xfId="1542" xr:uid="{00000000-0005-0000-0000-000046000000}"/>
    <cellStyle name="Normal 10 16 3" xfId="1080" xr:uid="{00000000-0005-0000-0000-000047000000}"/>
    <cellStyle name="Normal 10 17" xfId="594" xr:uid="{00000000-0005-0000-0000-000048000000}"/>
    <cellStyle name="Normal 10 17 2" xfId="1563" xr:uid="{00000000-0005-0000-0000-000049000000}"/>
    <cellStyle name="Normal 10 17 3" xfId="1101" xr:uid="{00000000-0005-0000-0000-00004A000000}"/>
    <cellStyle name="Normal 10 18" xfId="624" xr:uid="{00000000-0005-0000-0000-00004B000000}"/>
    <cellStyle name="Normal 10 18 2" xfId="1584" xr:uid="{00000000-0005-0000-0000-00004C000000}"/>
    <cellStyle name="Normal 10 18 3" xfId="1122" xr:uid="{00000000-0005-0000-0000-00004D000000}"/>
    <cellStyle name="Normal 10 19" xfId="654" xr:uid="{00000000-0005-0000-0000-00004E000000}"/>
    <cellStyle name="Normal 10 19 2" xfId="1605" xr:uid="{00000000-0005-0000-0000-00004F000000}"/>
    <cellStyle name="Normal 10 19 3" xfId="1143" xr:uid="{00000000-0005-0000-0000-000050000000}"/>
    <cellStyle name="Normal 10 2" xfId="152" xr:uid="{00000000-0005-0000-0000-000051000000}"/>
    <cellStyle name="Normal 10 2 2" xfId="1258" xr:uid="{00000000-0005-0000-0000-000052000000}"/>
    <cellStyle name="Normal 10 2 3" xfId="796" xr:uid="{00000000-0005-0000-0000-000053000000}"/>
    <cellStyle name="Normal 10 20" xfId="683" xr:uid="{00000000-0005-0000-0000-000054000000}"/>
    <cellStyle name="Normal 10 20 2" xfId="1625" xr:uid="{00000000-0005-0000-0000-000055000000}"/>
    <cellStyle name="Normal 10 20 3" xfId="1163" xr:uid="{00000000-0005-0000-0000-000056000000}"/>
    <cellStyle name="Normal 10 21" xfId="712" xr:uid="{00000000-0005-0000-0000-000057000000}"/>
    <cellStyle name="Normal 10 21 2" xfId="1645" xr:uid="{00000000-0005-0000-0000-000058000000}"/>
    <cellStyle name="Normal 10 21 3" xfId="1183" xr:uid="{00000000-0005-0000-0000-000059000000}"/>
    <cellStyle name="Normal 10 3" xfId="183" xr:uid="{00000000-0005-0000-0000-00005A000000}"/>
    <cellStyle name="Normal 10 3 2" xfId="1278" xr:uid="{00000000-0005-0000-0000-00005B000000}"/>
    <cellStyle name="Normal 10 3 3" xfId="816" xr:uid="{00000000-0005-0000-0000-00005C000000}"/>
    <cellStyle name="Normal 10 4" xfId="213" xr:uid="{00000000-0005-0000-0000-00005D000000}"/>
    <cellStyle name="Normal 10 4 2" xfId="1299" xr:uid="{00000000-0005-0000-0000-00005E000000}"/>
    <cellStyle name="Normal 10 4 3" xfId="837" xr:uid="{00000000-0005-0000-0000-00005F000000}"/>
    <cellStyle name="Normal 10 5" xfId="242" xr:uid="{00000000-0005-0000-0000-000060000000}"/>
    <cellStyle name="Normal 10 5 2" xfId="1319" xr:uid="{00000000-0005-0000-0000-000061000000}"/>
    <cellStyle name="Normal 10 5 3" xfId="857" xr:uid="{00000000-0005-0000-0000-000062000000}"/>
    <cellStyle name="Normal 10 6" xfId="271" xr:uid="{00000000-0005-0000-0000-000063000000}"/>
    <cellStyle name="Normal 10 6 2" xfId="1339" xr:uid="{00000000-0005-0000-0000-000064000000}"/>
    <cellStyle name="Normal 10 6 3" xfId="877" xr:uid="{00000000-0005-0000-0000-000065000000}"/>
    <cellStyle name="Normal 10 7" xfId="300" xr:uid="{00000000-0005-0000-0000-000066000000}"/>
    <cellStyle name="Normal 10 7 2" xfId="1359" xr:uid="{00000000-0005-0000-0000-000067000000}"/>
    <cellStyle name="Normal 10 7 3" xfId="897" xr:uid="{00000000-0005-0000-0000-000068000000}"/>
    <cellStyle name="Normal 10 8" xfId="329" xr:uid="{00000000-0005-0000-0000-000069000000}"/>
    <cellStyle name="Normal 10 8 2" xfId="1379" xr:uid="{00000000-0005-0000-0000-00006A000000}"/>
    <cellStyle name="Normal 10 8 3" xfId="917" xr:uid="{00000000-0005-0000-0000-00006B000000}"/>
    <cellStyle name="Normal 10 9" xfId="358" xr:uid="{00000000-0005-0000-0000-00006C000000}"/>
    <cellStyle name="Normal 10 9 2" xfId="1399" xr:uid="{00000000-0005-0000-0000-00006D000000}"/>
    <cellStyle name="Normal 10 9 3" xfId="937" xr:uid="{00000000-0005-0000-0000-00006E000000}"/>
    <cellStyle name="Normal 11" xfId="51" xr:uid="{00000000-0005-0000-0000-00006F000000}"/>
    <cellStyle name="Normal 11 10" xfId="389" xr:uid="{00000000-0005-0000-0000-000070000000}"/>
    <cellStyle name="Normal 11 10 2" xfId="1421" xr:uid="{00000000-0005-0000-0000-000071000000}"/>
    <cellStyle name="Normal 11 10 3" xfId="959" xr:uid="{00000000-0005-0000-0000-000072000000}"/>
    <cellStyle name="Normal 11 11" xfId="418" xr:uid="{00000000-0005-0000-0000-000073000000}"/>
    <cellStyle name="Normal 11 11 2" xfId="1441" xr:uid="{00000000-0005-0000-0000-000074000000}"/>
    <cellStyle name="Normal 11 11 3" xfId="979" xr:uid="{00000000-0005-0000-0000-000075000000}"/>
    <cellStyle name="Normal 11 12" xfId="447" xr:uid="{00000000-0005-0000-0000-000076000000}"/>
    <cellStyle name="Normal 11 12 2" xfId="1461" xr:uid="{00000000-0005-0000-0000-000077000000}"/>
    <cellStyle name="Normal 11 12 3" xfId="999" xr:uid="{00000000-0005-0000-0000-000078000000}"/>
    <cellStyle name="Normal 11 13" xfId="476" xr:uid="{00000000-0005-0000-0000-000079000000}"/>
    <cellStyle name="Normal 11 13 2" xfId="1481" xr:uid="{00000000-0005-0000-0000-00007A000000}"/>
    <cellStyle name="Normal 11 13 3" xfId="1019" xr:uid="{00000000-0005-0000-0000-00007B000000}"/>
    <cellStyle name="Normal 11 14" xfId="505" xr:uid="{00000000-0005-0000-0000-00007C000000}"/>
    <cellStyle name="Normal 11 14 2" xfId="1501" xr:uid="{00000000-0005-0000-0000-00007D000000}"/>
    <cellStyle name="Normal 11 14 3" xfId="1039" xr:uid="{00000000-0005-0000-0000-00007E000000}"/>
    <cellStyle name="Normal 11 15" xfId="535" xr:uid="{00000000-0005-0000-0000-00007F000000}"/>
    <cellStyle name="Normal 11 15 2" xfId="1522" xr:uid="{00000000-0005-0000-0000-000080000000}"/>
    <cellStyle name="Normal 11 15 3" xfId="1060" xr:uid="{00000000-0005-0000-0000-000081000000}"/>
    <cellStyle name="Normal 11 16" xfId="565" xr:uid="{00000000-0005-0000-0000-000082000000}"/>
    <cellStyle name="Normal 11 16 2" xfId="1543" xr:uid="{00000000-0005-0000-0000-000083000000}"/>
    <cellStyle name="Normal 11 16 3" xfId="1081" xr:uid="{00000000-0005-0000-0000-000084000000}"/>
    <cellStyle name="Normal 11 17" xfId="595" xr:uid="{00000000-0005-0000-0000-000085000000}"/>
    <cellStyle name="Normal 11 17 2" xfId="1564" xr:uid="{00000000-0005-0000-0000-000086000000}"/>
    <cellStyle name="Normal 11 17 3" xfId="1102" xr:uid="{00000000-0005-0000-0000-000087000000}"/>
    <cellStyle name="Normal 11 18" xfId="625" xr:uid="{00000000-0005-0000-0000-000088000000}"/>
    <cellStyle name="Normal 11 18 2" xfId="1585" xr:uid="{00000000-0005-0000-0000-000089000000}"/>
    <cellStyle name="Normal 11 18 3" xfId="1123" xr:uid="{00000000-0005-0000-0000-00008A000000}"/>
    <cellStyle name="Normal 11 19" xfId="655" xr:uid="{00000000-0005-0000-0000-00008B000000}"/>
    <cellStyle name="Normal 11 19 2" xfId="1606" xr:uid="{00000000-0005-0000-0000-00008C000000}"/>
    <cellStyle name="Normal 11 19 3" xfId="1144" xr:uid="{00000000-0005-0000-0000-00008D000000}"/>
    <cellStyle name="Normal 11 2" xfId="153" xr:uid="{00000000-0005-0000-0000-00008E000000}"/>
    <cellStyle name="Normal 11 2 2" xfId="1259" xr:uid="{00000000-0005-0000-0000-00008F000000}"/>
    <cellStyle name="Normal 11 2 3" xfId="797" xr:uid="{00000000-0005-0000-0000-000090000000}"/>
    <cellStyle name="Normal 11 20" xfId="684" xr:uid="{00000000-0005-0000-0000-000091000000}"/>
    <cellStyle name="Normal 11 20 2" xfId="1626" xr:uid="{00000000-0005-0000-0000-000092000000}"/>
    <cellStyle name="Normal 11 20 3" xfId="1164" xr:uid="{00000000-0005-0000-0000-000093000000}"/>
    <cellStyle name="Normal 11 21" xfId="713" xr:uid="{00000000-0005-0000-0000-000094000000}"/>
    <cellStyle name="Normal 11 21 2" xfId="1646" xr:uid="{00000000-0005-0000-0000-000095000000}"/>
    <cellStyle name="Normal 11 21 3" xfId="1184" xr:uid="{00000000-0005-0000-0000-000096000000}"/>
    <cellStyle name="Normal 11 3" xfId="184" xr:uid="{00000000-0005-0000-0000-000097000000}"/>
    <cellStyle name="Normal 11 3 2" xfId="1279" xr:uid="{00000000-0005-0000-0000-000098000000}"/>
    <cellStyle name="Normal 11 3 3" xfId="817" xr:uid="{00000000-0005-0000-0000-000099000000}"/>
    <cellStyle name="Normal 11 4" xfId="214" xr:uid="{00000000-0005-0000-0000-00009A000000}"/>
    <cellStyle name="Normal 11 4 2" xfId="1300" xr:uid="{00000000-0005-0000-0000-00009B000000}"/>
    <cellStyle name="Normal 11 4 3" xfId="838" xr:uid="{00000000-0005-0000-0000-00009C000000}"/>
    <cellStyle name="Normal 11 5" xfId="243" xr:uid="{00000000-0005-0000-0000-00009D000000}"/>
    <cellStyle name="Normal 11 5 2" xfId="1320" xr:uid="{00000000-0005-0000-0000-00009E000000}"/>
    <cellStyle name="Normal 11 5 3" xfId="858" xr:uid="{00000000-0005-0000-0000-00009F000000}"/>
    <cellStyle name="Normal 11 6" xfId="272" xr:uid="{00000000-0005-0000-0000-0000A0000000}"/>
    <cellStyle name="Normal 11 6 2" xfId="1340" xr:uid="{00000000-0005-0000-0000-0000A1000000}"/>
    <cellStyle name="Normal 11 6 3" xfId="878" xr:uid="{00000000-0005-0000-0000-0000A2000000}"/>
    <cellStyle name="Normal 11 7" xfId="301" xr:uid="{00000000-0005-0000-0000-0000A3000000}"/>
    <cellStyle name="Normal 11 7 2" xfId="1360" xr:uid="{00000000-0005-0000-0000-0000A4000000}"/>
    <cellStyle name="Normal 11 7 3" xfId="898" xr:uid="{00000000-0005-0000-0000-0000A5000000}"/>
    <cellStyle name="Normal 11 8" xfId="330" xr:uid="{00000000-0005-0000-0000-0000A6000000}"/>
    <cellStyle name="Normal 11 8 2" xfId="1380" xr:uid="{00000000-0005-0000-0000-0000A7000000}"/>
    <cellStyle name="Normal 11 8 3" xfId="918" xr:uid="{00000000-0005-0000-0000-0000A8000000}"/>
    <cellStyle name="Normal 11 9" xfId="359" xr:uid="{00000000-0005-0000-0000-0000A9000000}"/>
    <cellStyle name="Normal 11 9 2" xfId="1400" xr:uid="{00000000-0005-0000-0000-0000AA000000}"/>
    <cellStyle name="Normal 11 9 3" xfId="938" xr:uid="{00000000-0005-0000-0000-0000AB000000}"/>
    <cellStyle name="Normal 12" xfId="52" xr:uid="{00000000-0005-0000-0000-0000AC000000}"/>
    <cellStyle name="Normal 12 10" xfId="390" xr:uid="{00000000-0005-0000-0000-0000AD000000}"/>
    <cellStyle name="Normal 12 10 2" xfId="1422" xr:uid="{00000000-0005-0000-0000-0000AE000000}"/>
    <cellStyle name="Normal 12 10 3" xfId="960" xr:uid="{00000000-0005-0000-0000-0000AF000000}"/>
    <cellStyle name="Normal 12 11" xfId="419" xr:uid="{00000000-0005-0000-0000-0000B0000000}"/>
    <cellStyle name="Normal 12 11 2" xfId="1442" xr:uid="{00000000-0005-0000-0000-0000B1000000}"/>
    <cellStyle name="Normal 12 11 3" xfId="980" xr:uid="{00000000-0005-0000-0000-0000B2000000}"/>
    <cellStyle name="Normal 12 12" xfId="448" xr:uid="{00000000-0005-0000-0000-0000B3000000}"/>
    <cellStyle name="Normal 12 12 2" xfId="1462" xr:uid="{00000000-0005-0000-0000-0000B4000000}"/>
    <cellStyle name="Normal 12 12 3" xfId="1000" xr:uid="{00000000-0005-0000-0000-0000B5000000}"/>
    <cellStyle name="Normal 12 13" xfId="477" xr:uid="{00000000-0005-0000-0000-0000B6000000}"/>
    <cellStyle name="Normal 12 13 2" xfId="1482" xr:uid="{00000000-0005-0000-0000-0000B7000000}"/>
    <cellStyle name="Normal 12 13 3" xfId="1020" xr:uid="{00000000-0005-0000-0000-0000B8000000}"/>
    <cellStyle name="Normal 12 14" xfId="506" xr:uid="{00000000-0005-0000-0000-0000B9000000}"/>
    <cellStyle name="Normal 12 14 2" xfId="1502" xr:uid="{00000000-0005-0000-0000-0000BA000000}"/>
    <cellStyle name="Normal 12 14 3" xfId="1040" xr:uid="{00000000-0005-0000-0000-0000BB000000}"/>
    <cellStyle name="Normal 12 15" xfId="536" xr:uid="{00000000-0005-0000-0000-0000BC000000}"/>
    <cellStyle name="Normal 12 15 2" xfId="1523" xr:uid="{00000000-0005-0000-0000-0000BD000000}"/>
    <cellStyle name="Normal 12 15 3" xfId="1061" xr:uid="{00000000-0005-0000-0000-0000BE000000}"/>
    <cellStyle name="Normal 12 16" xfId="566" xr:uid="{00000000-0005-0000-0000-0000BF000000}"/>
    <cellStyle name="Normal 12 16 2" xfId="1544" xr:uid="{00000000-0005-0000-0000-0000C0000000}"/>
    <cellStyle name="Normal 12 16 3" xfId="1082" xr:uid="{00000000-0005-0000-0000-0000C1000000}"/>
    <cellStyle name="Normal 12 17" xfId="596" xr:uid="{00000000-0005-0000-0000-0000C2000000}"/>
    <cellStyle name="Normal 12 17 2" xfId="1565" xr:uid="{00000000-0005-0000-0000-0000C3000000}"/>
    <cellStyle name="Normal 12 17 3" xfId="1103" xr:uid="{00000000-0005-0000-0000-0000C4000000}"/>
    <cellStyle name="Normal 12 18" xfId="626" xr:uid="{00000000-0005-0000-0000-0000C5000000}"/>
    <cellStyle name="Normal 12 18 2" xfId="1586" xr:uid="{00000000-0005-0000-0000-0000C6000000}"/>
    <cellStyle name="Normal 12 18 3" xfId="1124" xr:uid="{00000000-0005-0000-0000-0000C7000000}"/>
    <cellStyle name="Normal 12 19" xfId="656" xr:uid="{00000000-0005-0000-0000-0000C8000000}"/>
    <cellStyle name="Normal 12 19 2" xfId="1607" xr:uid="{00000000-0005-0000-0000-0000C9000000}"/>
    <cellStyle name="Normal 12 19 3" xfId="1145" xr:uid="{00000000-0005-0000-0000-0000CA000000}"/>
    <cellStyle name="Normal 12 2" xfId="154" xr:uid="{00000000-0005-0000-0000-0000CB000000}"/>
    <cellStyle name="Normal 12 2 2" xfId="1260" xr:uid="{00000000-0005-0000-0000-0000CC000000}"/>
    <cellStyle name="Normal 12 2 3" xfId="798" xr:uid="{00000000-0005-0000-0000-0000CD000000}"/>
    <cellStyle name="Normal 12 20" xfId="685" xr:uid="{00000000-0005-0000-0000-0000CE000000}"/>
    <cellStyle name="Normal 12 20 2" xfId="1627" xr:uid="{00000000-0005-0000-0000-0000CF000000}"/>
    <cellStyle name="Normal 12 20 3" xfId="1165" xr:uid="{00000000-0005-0000-0000-0000D0000000}"/>
    <cellStyle name="Normal 12 21" xfId="714" xr:uid="{00000000-0005-0000-0000-0000D1000000}"/>
    <cellStyle name="Normal 12 21 2" xfId="1647" xr:uid="{00000000-0005-0000-0000-0000D2000000}"/>
    <cellStyle name="Normal 12 21 3" xfId="1185" xr:uid="{00000000-0005-0000-0000-0000D3000000}"/>
    <cellStyle name="Normal 12 3" xfId="185" xr:uid="{00000000-0005-0000-0000-0000D4000000}"/>
    <cellStyle name="Normal 12 3 2" xfId="1280" xr:uid="{00000000-0005-0000-0000-0000D5000000}"/>
    <cellStyle name="Normal 12 3 3" xfId="818" xr:uid="{00000000-0005-0000-0000-0000D6000000}"/>
    <cellStyle name="Normal 12 4" xfId="215" xr:uid="{00000000-0005-0000-0000-0000D7000000}"/>
    <cellStyle name="Normal 12 4 2" xfId="1301" xr:uid="{00000000-0005-0000-0000-0000D8000000}"/>
    <cellStyle name="Normal 12 4 3" xfId="839" xr:uid="{00000000-0005-0000-0000-0000D9000000}"/>
    <cellStyle name="Normal 12 5" xfId="244" xr:uid="{00000000-0005-0000-0000-0000DA000000}"/>
    <cellStyle name="Normal 12 5 2" xfId="1321" xr:uid="{00000000-0005-0000-0000-0000DB000000}"/>
    <cellStyle name="Normal 12 5 3" xfId="859" xr:uid="{00000000-0005-0000-0000-0000DC000000}"/>
    <cellStyle name="Normal 12 6" xfId="273" xr:uid="{00000000-0005-0000-0000-0000DD000000}"/>
    <cellStyle name="Normal 12 6 2" xfId="1341" xr:uid="{00000000-0005-0000-0000-0000DE000000}"/>
    <cellStyle name="Normal 12 6 3" xfId="879" xr:uid="{00000000-0005-0000-0000-0000DF000000}"/>
    <cellStyle name="Normal 12 7" xfId="302" xr:uid="{00000000-0005-0000-0000-0000E0000000}"/>
    <cellStyle name="Normal 12 7 2" xfId="1361" xr:uid="{00000000-0005-0000-0000-0000E1000000}"/>
    <cellStyle name="Normal 12 7 3" xfId="899" xr:uid="{00000000-0005-0000-0000-0000E2000000}"/>
    <cellStyle name="Normal 12 8" xfId="331" xr:uid="{00000000-0005-0000-0000-0000E3000000}"/>
    <cellStyle name="Normal 12 8 2" xfId="1381" xr:uid="{00000000-0005-0000-0000-0000E4000000}"/>
    <cellStyle name="Normal 12 8 3" xfId="919" xr:uid="{00000000-0005-0000-0000-0000E5000000}"/>
    <cellStyle name="Normal 12 9" xfId="360" xr:uid="{00000000-0005-0000-0000-0000E6000000}"/>
    <cellStyle name="Normal 12 9 2" xfId="1401" xr:uid="{00000000-0005-0000-0000-0000E7000000}"/>
    <cellStyle name="Normal 12 9 3" xfId="939" xr:uid="{00000000-0005-0000-0000-0000E8000000}"/>
    <cellStyle name="Normal 13" xfId="53" xr:uid="{00000000-0005-0000-0000-0000E9000000}"/>
    <cellStyle name="Normal 13 10" xfId="391" xr:uid="{00000000-0005-0000-0000-0000EA000000}"/>
    <cellStyle name="Normal 13 10 2" xfId="1423" xr:uid="{00000000-0005-0000-0000-0000EB000000}"/>
    <cellStyle name="Normal 13 10 3" xfId="961" xr:uid="{00000000-0005-0000-0000-0000EC000000}"/>
    <cellStyle name="Normal 13 11" xfId="420" xr:uid="{00000000-0005-0000-0000-0000ED000000}"/>
    <cellStyle name="Normal 13 11 2" xfId="1443" xr:uid="{00000000-0005-0000-0000-0000EE000000}"/>
    <cellStyle name="Normal 13 11 3" xfId="981" xr:uid="{00000000-0005-0000-0000-0000EF000000}"/>
    <cellStyle name="Normal 13 12" xfId="449" xr:uid="{00000000-0005-0000-0000-0000F0000000}"/>
    <cellStyle name="Normal 13 12 2" xfId="1463" xr:uid="{00000000-0005-0000-0000-0000F1000000}"/>
    <cellStyle name="Normal 13 12 3" xfId="1001" xr:uid="{00000000-0005-0000-0000-0000F2000000}"/>
    <cellStyle name="Normal 13 13" xfId="478" xr:uid="{00000000-0005-0000-0000-0000F3000000}"/>
    <cellStyle name="Normal 13 13 2" xfId="1483" xr:uid="{00000000-0005-0000-0000-0000F4000000}"/>
    <cellStyle name="Normal 13 13 3" xfId="1021" xr:uid="{00000000-0005-0000-0000-0000F5000000}"/>
    <cellStyle name="Normal 13 14" xfId="507" xr:uid="{00000000-0005-0000-0000-0000F6000000}"/>
    <cellStyle name="Normal 13 14 2" xfId="1503" xr:uid="{00000000-0005-0000-0000-0000F7000000}"/>
    <cellStyle name="Normal 13 14 3" xfId="1041" xr:uid="{00000000-0005-0000-0000-0000F8000000}"/>
    <cellStyle name="Normal 13 15" xfId="537" xr:uid="{00000000-0005-0000-0000-0000F9000000}"/>
    <cellStyle name="Normal 13 15 2" xfId="1524" xr:uid="{00000000-0005-0000-0000-0000FA000000}"/>
    <cellStyle name="Normal 13 15 3" xfId="1062" xr:uid="{00000000-0005-0000-0000-0000FB000000}"/>
    <cellStyle name="Normal 13 16" xfId="567" xr:uid="{00000000-0005-0000-0000-0000FC000000}"/>
    <cellStyle name="Normal 13 16 2" xfId="1545" xr:uid="{00000000-0005-0000-0000-0000FD000000}"/>
    <cellStyle name="Normal 13 16 3" xfId="1083" xr:uid="{00000000-0005-0000-0000-0000FE000000}"/>
    <cellStyle name="Normal 13 17" xfId="597" xr:uid="{00000000-0005-0000-0000-0000FF000000}"/>
    <cellStyle name="Normal 13 17 2" xfId="1566" xr:uid="{00000000-0005-0000-0000-000000010000}"/>
    <cellStyle name="Normal 13 17 3" xfId="1104" xr:uid="{00000000-0005-0000-0000-000001010000}"/>
    <cellStyle name="Normal 13 18" xfId="627" xr:uid="{00000000-0005-0000-0000-000002010000}"/>
    <cellStyle name="Normal 13 18 2" xfId="1587" xr:uid="{00000000-0005-0000-0000-000003010000}"/>
    <cellStyle name="Normal 13 18 3" xfId="1125" xr:uid="{00000000-0005-0000-0000-000004010000}"/>
    <cellStyle name="Normal 13 19" xfId="657" xr:uid="{00000000-0005-0000-0000-000005010000}"/>
    <cellStyle name="Normal 13 19 2" xfId="1608" xr:uid="{00000000-0005-0000-0000-000006010000}"/>
    <cellStyle name="Normal 13 19 3" xfId="1146" xr:uid="{00000000-0005-0000-0000-000007010000}"/>
    <cellStyle name="Normal 13 2" xfId="155" xr:uid="{00000000-0005-0000-0000-000008010000}"/>
    <cellStyle name="Normal 13 2 2" xfId="1261" xr:uid="{00000000-0005-0000-0000-000009010000}"/>
    <cellStyle name="Normal 13 2 3" xfId="799" xr:uid="{00000000-0005-0000-0000-00000A010000}"/>
    <cellStyle name="Normal 13 20" xfId="686" xr:uid="{00000000-0005-0000-0000-00000B010000}"/>
    <cellStyle name="Normal 13 20 2" xfId="1628" xr:uid="{00000000-0005-0000-0000-00000C010000}"/>
    <cellStyle name="Normal 13 20 3" xfId="1166" xr:uid="{00000000-0005-0000-0000-00000D010000}"/>
    <cellStyle name="Normal 13 21" xfId="715" xr:uid="{00000000-0005-0000-0000-00000E010000}"/>
    <cellStyle name="Normal 13 21 2" xfId="1648" xr:uid="{00000000-0005-0000-0000-00000F010000}"/>
    <cellStyle name="Normal 13 21 3" xfId="1186" xr:uid="{00000000-0005-0000-0000-000010010000}"/>
    <cellStyle name="Normal 13 3" xfId="186" xr:uid="{00000000-0005-0000-0000-000011010000}"/>
    <cellStyle name="Normal 13 3 2" xfId="1281" xr:uid="{00000000-0005-0000-0000-000012010000}"/>
    <cellStyle name="Normal 13 3 3" xfId="819" xr:uid="{00000000-0005-0000-0000-000013010000}"/>
    <cellStyle name="Normal 13 4" xfId="216" xr:uid="{00000000-0005-0000-0000-000014010000}"/>
    <cellStyle name="Normal 13 4 2" xfId="1302" xr:uid="{00000000-0005-0000-0000-000015010000}"/>
    <cellStyle name="Normal 13 4 3" xfId="840" xr:uid="{00000000-0005-0000-0000-000016010000}"/>
    <cellStyle name="Normal 13 5" xfId="245" xr:uid="{00000000-0005-0000-0000-000017010000}"/>
    <cellStyle name="Normal 13 5 2" xfId="1322" xr:uid="{00000000-0005-0000-0000-000018010000}"/>
    <cellStyle name="Normal 13 5 3" xfId="860" xr:uid="{00000000-0005-0000-0000-000019010000}"/>
    <cellStyle name="Normal 13 6" xfId="274" xr:uid="{00000000-0005-0000-0000-00001A010000}"/>
    <cellStyle name="Normal 13 6 2" xfId="1342" xr:uid="{00000000-0005-0000-0000-00001B010000}"/>
    <cellStyle name="Normal 13 6 3" xfId="880" xr:uid="{00000000-0005-0000-0000-00001C010000}"/>
    <cellStyle name="Normal 13 7" xfId="303" xr:uid="{00000000-0005-0000-0000-00001D010000}"/>
    <cellStyle name="Normal 13 7 2" xfId="1362" xr:uid="{00000000-0005-0000-0000-00001E010000}"/>
    <cellStyle name="Normal 13 7 3" xfId="900" xr:uid="{00000000-0005-0000-0000-00001F010000}"/>
    <cellStyle name="Normal 13 8" xfId="332" xr:uid="{00000000-0005-0000-0000-000020010000}"/>
    <cellStyle name="Normal 13 8 2" xfId="1382" xr:uid="{00000000-0005-0000-0000-000021010000}"/>
    <cellStyle name="Normal 13 8 3" xfId="920" xr:uid="{00000000-0005-0000-0000-000022010000}"/>
    <cellStyle name="Normal 13 9" xfId="361" xr:uid="{00000000-0005-0000-0000-000023010000}"/>
    <cellStyle name="Normal 13 9 2" xfId="1402" xr:uid="{00000000-0005-0000-0000-000024010000}"/>
    <cellStyle name="Normal 13 9 3" xfId="940" xr:uid="{00000000-0005-0000-0000-000025010000}"/>
    <cellStyle name="Normal 14" xfId="54" xr:uid="{00000000-0005-0000-0000-000026010000}"/>
    <cellStyle name="Normal 14 10" xfId="392" xr:uid="{00000000-0005-0000-0000-000027010000}"/>
    <cellStyle name="Normal 14 10 2" xfId="1424" xr:uid="{00000000-0005-0000-0000-000028010000}"/>
    <cellStyle name="Normal 14 10 3" xfId="962" xr:uid="{00000000-0005-0000-0000-000029010000}"/>
    <cellStyle name="Normal 14 11" xfId="421" xr:uid="{00000000-0005-0000-0000-00002A010000}"/>
    <cellStyle name="Normal 14 11 2" xfId="1444" xr:uid="{00000000-0005-0000-0000-00002B010000}"/>
    <cellStyle name="Normal 14 11 3" xfId="982" xr:uid="{00000000-0005-0000-0000-00002C010000}"/>
    <cellStyle name="Normal 14 12" xfId="450" xr:uid="{00000000-0005-0000-0000-00002D010000}"/>
    <cellStyle name="Normal 14 12 2" xfId="1464" xr:uid="{00000000-0005-0000-0000-00002E010000}"/>
    <cellStyle name="Normal 14 12 3" xfId="1002" xr:uid="{00000000-0005-0000-0000-00002F010000}"/>
    <cellStyle name="Normal 14 13" xfId="479" xr:uid="{00000000-0005-0000-0000-000030010000}"/>
    <cellStyle name="Normal 14 13 2" xfId="1484" xr:uid="{00000000-0005-0000-0000-000031010000}"/>
    <cellStyle name="Normal 14 13 3" xfId="1022" xr:uid="{00000000-0005-0000-0000-000032010000}"/>
    <cellStyle name="Normal 14 14" xfId="508" xr:uid="{00000000-0005-0000-0000-000033010000}"/>
    <cellStyle name="Normal 14 14 2" xfId="1504" xr:uid="{00000000-0005-0000-0000-000034010000}"/>
    <cellStyle name="Normal 14 14 3" xfId="1042" xr:uid="{00000000-0005-0000-0000-000035010000}"/>
    <cellStyle name="Normal 14 15" xfId="538" xr:uid="{00000000-0005-0000-0000-000036010000}"/>
    <cellStyle name="Normal 14 15 2" xfId="1525" xr:uid="{00000000-0005-0000-0000-000037010000}"/>
    <cellStyle name="Normal 14 15 3" xfId="1063" xr:uid="{00000000-0005-0000-0000-000038010000}"/>
    <cellStyle name="Normal 14 16" xfId="568" xr:uid="{00000000-0005-0000-0000-000039010000}"/>
    <cellStyle name="Normal 14 16 2" xfId="1546" xr:uid="{00000000-0005-0000-0000-00003A010000}"/>
    <cellStyle name="Normal 14 16 3" xfId="1084" xr:uid="{00000000-0005-0000-0000-00003B010000}"/>
    <cellStyle name="Normal 14 17" xfId="598" xr:uid="{00000000-0005-0000-0000-00003C010000}"/>
    <cellStyle name="Normal 14 17 2" xfId="1567" xr:uid="{00000000-0005-0000-0000-00003D010000}"/>
    <cellStyle name="Normal 14 17 3" xfId="1105" xr:uid="{00000000-0005-0000-0000-00003E010000}"/>
    <cellStyle name="Normal 14 18" xfId="628" xr:uid="{00000000-0005-0000-0000-00003F010000}"/>
    <cellStyle name="Normal 14 18 2" xfId="1588" xr:uid="{00000000-0005-0000-0000-000040010000}"/>
    <cellStyle name="Normal 14 18 3" xfId="1126" xr:uid="{00000000-0005-0000-0000-000041010000}"/>
    <cellStyle name="Normal 14 19" xfId="658" xr:uid="{00000000-0005-0000-0000-000042010000}"/>
    <cellStyle name="Normal 14 19 2" xfId="1609" xr:uid="{00000000-0005-0000-0000-000043010000}"/>
    <cellStyle name="Normal 14 19 3" xfId="1147" xr:uid="{00000000-0005-0000-0000-000044010000}"/>
    <cellStyle name="Normal 14 2" xfId="156" xr:uid="{00000000-0005-0000-0000-000045010000}"/>
    <cellStyle name="Normal 14 2 2" xfId="1262" xr:uid="{00000000-0005-0000-0000-000046010000}"/>
    <cellStyle name="Normal 14 2 3" xfId="800" xr:uid="{00000000-0005-0000-0000-000047010000}"/>
    <cellStyle name="Normal 14 20" xfId="687" xr:uid="{00000000-0005-0000-0000-000048010000}"/>
    <cellStyle name="Normal 14 20 2" xfId="1629" xr:uid="{00000000-0005-0000-0000-000049010000}"/>
    <cellStyle name="Normal 14 20 3" xfId="1167" xr:uid="{00000000-0005-0000-0000-00004A010000}"/>
    <cellStyle name="Normal 14 21" xfId="716" xr:uid="{00000000-0005-0000-0000-00004B010000}"/>
    <cellStyle name="Normal 14 21 2" xfId="1649" xr:uid="{00000000-0005-0000-0000-00004C010000}"/>
    <cellStyle name="Normal 14 21 3" xfId="1187" xr:uid="{00000000-0005-0000-0000-00004D010000}"/>
    <cellStyle name="Normal 14 3" xfId="187" xr:uid="{00000000-0005-0000-0000-00004E010000}"/>
    <cellStyle name="Normal 14 3 2" xfId="1282" xr:uid="{00000000-0005-0000-0000-00004F010000}"/>
    <cellStyle name="Normal 14 3 3" xfId="820" xr:uid="{00000000-0005-0000-0000-000050010000}"/>
    <cellStyle name="Normal 14 4" xfId="217" xr:uid="{00000000-0005-0000-0000-000051010000}"/>
    <cellStyle name="Normal 14 4 2" xfId="1303" xr:uid="{00000000-0005-0000-0000-000052010000}"/>
    <cellStyle name="Normal 14 4 3" xfId="841" xr:uid="{00000000-0005-0000-0000-000053010000}"/>
    <cellStyle name="Normal 14 5" xfId="246" xr:uid="{00000000-0005-0000-0000-000054010000}"/>
    <cellStyle name="Normal 14 5 2" xfId="1323" xr:uid="{00000000-0005-0000-0000-000055010000}"/>
    <cellStyle name="Normal 14 5 3" xfId="861" xr:uid="{00000000-0005-0000-0000-000056010000}"/>
    <cellStyle name="Normal 14 6" xfId="275" xr:uid="{00000000-0005-0000-0000-000057010000}"/>
    <cellStyle name="Normal 14 6 2" xfId="1343" xr:uid="{00000000-0005-0000-0000-000058010000}"/>
    <cellStyle name="Normal 14 6 3" xfId="881" xr:uid="{00000000-0005-0000-0000-000059010000}"/>
    <cellStyle name="Normal 14 7" xfId="304" xr:uid="{00000000-0005-0000-0000-00005A010000}"/>
    <cellStyle name="Normal 14 7 2" xfId="1363" xr:uid="{00000000-0005-0000-0000-00005B010000}"/>
    <cellStyle name="Normal 14 7 3" xfId="901" xr:uid="{00000000-0005-0000-0000-00005C010000}"/>
    <cellStyle name="Normal 14 8" xfId="333" xr:uid="{00000000-0005-0000-0000-00005D010000}"/>
    <cellStyle name="Normal 14 8 2" xfId="1383" xr:uid="{00000000-0005-0000-0000-00005E010000}"/>
    <cellStyle name="Normal 14 8 3" xfId="921" xr:uid="{00000000-0005-0000-0000-00005F010000}"/>
    <cellStyle name="Normal 14 9" xfId="362" xr:uid="{00000000-0005-0000-0000-000060010000}"/>
    <cellStyle name="Normal 14 9 2" xfId="1403" xr:uid="{00000000-0005-0000-0000-000061010000}"/>
    <cellStyle name="Normal 14 9 3" xfId="941" xr:uid="{00000000-0005-0000-0000-000062010000}"/>
    <cellStyle name="Normal 15" xfId="55" xr:uid="{00000000-0005-0000-0000-000063010000}"/>
    <cellStyle name="Normal 15 10" xfId="393" xr:uid="{00000000-0005-0000-0000-000064010000}"/>
    <cellStyle name="Normal 15 10 2" xfId="1425" xr:uid="{00000000-0005-0000-0000-000065010000}"/>
    <cellStyle name="Normal 15 10 3" xfId="963" xr:uid="{00000000-0005-0000-0000-000066010000}"/>
    <cellStyle name="Normal 15 11" xfId="422" xr:uid="{00000000-0005-0000-0000-000067010000}"/>
    <cellStyle name="Normal 15 11 2" xfId="1445" xr:uid="{00000000-0005-0000-0000-000068010000}"/>
    <cellStyle name="Normal 15 11 3" xfId="983" xr:uid="{00000000-0005-0000-0000-000069010000}"/>
    <cellStyle name="Normal 15 12" xfId="451" xr:uid="{00000000-0005-0000-0000-00006A010000}"/>
    <cellStyle name="Normal 15 12 2" xfId="1465" xr:uid="{00000000-0005-0000-0000-00006B010000}"/>
    <cellStyle name="Normal 15 12 3" xfId="1003" xr:uid="{00000000-0005-0000-0000-00006C010000}"/>
    <cellStyle name="Normal 15 13" xfId="480" xr:uid="{00000000-0005-0000-0000-00006D010000}"/>
    <cellStyle name="Normal 15 13 2" xfId="1485" xr:uid="{00000000-0005-0000-0000-00006E010000}"/>
    <cellStyle name="Normal 15 13 3" xfId="1023" xr:uid="{00000000-0005-0000-0000-00006F010000}"/>
    <cellStyle name="Normal 15 14" xfId="509" xr:uid="{00000000-0005-0000-0000-000070010000}"/>
    <cellStyle name="Normal 15 14 2" xfId="1505" xr:uid="{00000000-0005-0000-0000-000071010000}"/>
    <cellStyle name="Normal 15 14 3" xfId="1043" xr:uid="{00000000-0005-0000-0000-000072010000}"/>
    <cellStyle name="Normal 15 15" xfId="539" xr:uid="{00000000-0005-0000-0000-000073010000}"/>
    <cellStyle name="Normal 15 15 2" xfId="1526" xr:uid="{00000000-0005-0000-0000-000074010000}"/>
    <cellStyle name="Normal 15 15 3" xfId="1064" xr:uid="{00000000-0005-0000-0000-000075010000}"/>
    <cellStyle name="Normal 15 16" xfId="569" xr:uid="{00000000-0005-0000-0000-000076010000}"/>
    <cellStyle name="Normal 15 16 2" xfId="1547" xr:uid="{00000000-0005-0000-0000-000077010000}"/>
    <cellStyle name="Normal 15 16 3" xfId="1085" xr:uid="{00000000-0005-0000-0000-000078010000}"/>
    <cellStyle name="Normal 15 17" xfId="599" xr:uid="{00000000-0005-0000-0000-000079010000}"/>
    <cellStyle name="Normal 15 17 2" xfId="1568" xr:uid="{00000000-0005-0000-0000-00007A010000}"/>
    <cellStyle name="Normal 15 17 3" xfId="1106" xr:uid="{00000000-0005-0000-0000-00007B010000}"/>
    <cellStyle name="Normal 15 18" xfId="629" xr:uid="{00000000-0005-0000-0000-00007C010000}"/>
    <cellStyle name="Normal 15 18 2" xfId="1589" xr:uid="{00000000-0005-0000-0000-00007D010000}"/>
    <cellStyle name="Normal 15 18 3" xfId="1127" xr:uid="{00000000-0005-0000-0000-00007E010000}"/>
    <cellStyle name="Normal 15 19" xfId="659" xr:uid="{00000000-0005-0000-0000-00007F010000}"/>
    <cellStyle name="Normal 15 19 2" xfId="1610" xr:uid="{00000000-0005-0000-0000-000080010000}"/>
    <cellStyle name="Normal 15 19 3" xfId="1148" xr:uid="{00000000-0005-0000-0000-000081010000}"/>
    <cellStyle name="Normal 15 2" xfId="157" xr:uid="{00000000-0005-0000-0000-000082010000}"/>
    <cellStyle name="Normal 15 2 2" xfId="1263" xr:uid="{00000000-0005-0000-0000-000083010000}"/>
    <cellStyle name="Normal 15 2 3" xfId="801" xr:uid="{00000000-0005-0000-0000-000084010000}"/>
    <cellStyle name="Normal 15 20" xfId="688" xr:uid="{00000000-0005-0000-0000-000085010000}"/>
    <cellStyle name="Normal 15 20 2" xfId="1630" xr:uid="{00000000-0005-0000-0000-000086010000}"/>
    <cellStyle name="Normal 15 20 3" xfId="1168" xr:uid="{00000000-0005-0000-0000-000087010000}"/>
    <cellStyle name="Normal 15 21" xfId="717" xr:uid="{00000000-0005-0000-0000-000088010000}"/>
    <cellStyle name="Normal 15 21 2" xfId="1650" xr:uid="{00000000-0005-0000-0000-000089010000}"/>
    <cellStyle name="Normal 15 21 3" xfId="1188" xr:uid="{00000000-0005-0000-0000-00008A010000}"/>
    <cellStyle name="Normal 15 3" xfId="188" xr:uid="{00000000-0005-0000-0000-00008B010000}"/>
    <cellStyle name="Normal 15 3 2" xfId="1283" xr:uid="{00000000-0005-0000-0000-00008C010000}"/>
    <cellStyle name="Normal 15 3 3" xfId="821" xr:uid="{00000000-0005-0000-0000-00008D010000}"/>
    <cellStyle name="Normal 15 4" xfId="218" xr:uid="{00000000-0005-0000-0000-00008E010000}"/>
    <cellStyle name="Normal 15 4 2" xfId="1304" xr:uid="{00000000-0005-0000-0000-00008F010000}"/>
    <cellStyle name="Normal 15 4 3" xfId="842" xr:uid="{00000000-0005-0000-0000-000090010000}"/>
    <cellStyle name="Normal 15 5" xfId="247" xr:uid="{00000000-0005-0000-0000-000091010000}"/>
    <cellStyle name="Normal 15 5 2" xfId="1324" xr:uid="{00000000-0005-0000-0000-000092010000}"/>
    <cellStyle name="Normal 15 5 3" xfId="862" xr:uid="{00000000-0005-0000-0000-000093010000}"/>
    <cellStyle name="Normal 15 6" xfId="276" xr:uid="{00000000-0005-0000-0000-000094010000}"/>
    <cellStyle name="Normal 15 6 2" xfId="1344" xr:uid="{00000000-0005-0000-0000-000095010000}"/>
    <cellStyle name="Normal 15 6 3" xfId="882" xr:uid="{00000000-0005-0000-0000-000096010000}"/>
    <cellStyle name="Normal 15 7" xfId="305" xr:uid="{00000000-0005-0000-0000-000097010000}"/>
    <cellStyle name="Normal 15 7 2" xfId="1364" xr:uid="{00000000-0005-0000-0000-000098010000}"/>
    <cellStyle name="Normal 15 7 3" xfId="902" xr:uid="{00000000-0005-0000-0000-000099010000}"/>
    <cellStyle name="Normal 15 8" xfId="334" xr:uid="{00000000-0005-0000-0000-00009A010000}"/>
    <cellStyle name="Normal 15 8 2" xfId="1384" xr:uid="{00000000-0005-0000-0000-00009B010000}"/>
    <cellStyle name="Normal 15 8 3" xfId="922" xr:uid="{00000000-0005-0000-0000-00009C010000}"/>
    <cellStyle name="Normal 15 9" xfId="363" xr:uid="{00000000-0005-0000-0000-00009D010000}"/>
    <cellStyle name="Normal 15 9 2" xfId="1404" xr:uid="{00000000-0005-0000-0000-00009E010000}"/>
    <cellStyle name="Normal 15 9 3" xfId="942" xr:uid="{00000000-0005-0000-0000-00009F010000}"/>
    <cellStyle name="Normal 16" xfId="56" xr:uid="{00000000-0005-0000-0000-0000A0010000}"/>
    <cellStyle name="Normal 16 10" xfId="394" xr:uid="{00000000-0005-0000-0000-0000A1010000}"/>
    <cellStyle name="Normal 16 10 2" xfId="1426" xr:uid="{00000000-0005-0000-0000-0000A2010000}"/>
    <cellStyle name="Normal 16 10 3" xfId="964" xr:uid="{00000000-0005-0000-0000-0000A3010000}"/>
    <cellStyle name="Normal 16 11" xfId="423" xr:uid="{00000000-0005-0000-0000-0000A4010000}"/>
    <cellStyle name="Normal 16 11 2" xfId="1446" xr:uid="{00000000-0005-0000-0000-0000A5010000}"/>
    <cellStyle name="Normal 16 11 3" xfId="984" xr:uid="{00000000-0005-0000-0000-0000A6010000}"/>
    <cellStyle name="Normal 16 12" xfId="452" xr:uid="{00000000-0005-0000-0000-0000A7010000}"/>
    <cellStyle name="Normal 16 12 2" xfId="1466" xr:uid="{00000000-0005-0000-0000-0000A8010000}"/>
    <cellStyle name="Normal 16 12 3" xfId="1004" xr:uid="{00000000-0005-0000-0000-0000A9010000}"/>
    <cellStyle name="Normal 16 13" xfId="481" xr:uid="{00000000-0005-0000-0000-0000AA010000}"/>
    <cellStyle name="Normal 16 13 2" xfId="1486" xr:uid="{00000000-0005-0000-0000-0000AB010000}"/>
    <cellStyle name="Normal 16 13 3" xfId="1024" xr:uid="{00000000-0005-0000-0000-0000AC010000}"/>
    <cellStyle name="Normal 16 14" xfId="510" xr:uid="{00000000-0005-0000-0000-0000AD010000}"/>
    <cellStyle name="Normal 16 14 2" xfId="1506" xr:uid="{00000000-0005-0000-0000-0000AE010000}"/>
    <cellStyle name="Normal 16 14 3" xfId="1044" xr:uid="{00000000-0005-0000-0000-0000AF010000}"/>
    <cellStyle name="Normal 16 15" xfId="540" xr:uid="{00000000-0005-0000-0000-0000B0010000}"/>
    <cellStyle name="Normal 16 15 2" xfId="1527" xr:uid="{00000000-0005-0000-0000-0000B1010000}"/>
    <cellStyle name="Normal 16 15 3" xfId="1065" xr:uid="{00000000-0005-0000-0000-0000B2010000}"/>
    <cellStyle name="Normal 16 16" xfId="570" xr:uid="{00000000-0005-0000-0000-0000B3010000}"/>
    <cellStyle name="Normal 16 16 2" xfId="1548" xr:uid="{00000000-0005-0000-0000-0000B4010000}"/>
    <cellStyle name="Normal 16 16 3" xfId="1086" xr:uid="{00000000-0005-0000-0000-0000B5010000}"/>
    <cellStyle name="Normal 16 17" xfId="600" xr:uid="{00000000-0005-0000-0000-0000B6010000}"/>
    <cellStyle name="Normal 16 17 2" xfId="1569" xr:uid="{00000000-0005-0000-0000-0000B7010000}"/>
    <cellStyle name="Normal 16 17 3" xfId="1107" xr:uid="{00000000-0005-0000-0000-0000B8010000}"/>
    <cellStyle name="Normal 16 18" xfId="630" xr:uid="{00000000-0005-0000-0000-0000B9010000}"/>
    <cellStyle name="Normal 16 18 2" xfId="1590" xr:uid="{00000000-0005-0000-0000-0000BA010000}"/>
    <cellStyle name="Normal 16 18 3" xfId="1128" xr:uid="{00000000-0005-0000-0000-0000BB010000}"/>
    <cellStyle name="Normal 16 19" xfId="660" xr:uid="{00000000-0005-0000-0000-0000BC010000}"/>
    <cellStyle name="Normal 16 19 2" xfId="1611" xr:uid="{00000000-0005-0000-0000-0000BD010000}"/>
    <cellStyle name="Normal 16 19 3" xfId="1149" xr:uid="{00000000-0005-0000-0000-0000BE010000}"/>
    <cellStyle name="Normal 16 2" xfId="158" xr:uid="{00000000-0005-0000-0000-0000BF010000}"/>
    <cellStyle name="Normal 16 2 2" xfId="1264" xr:uid="{00000000-0005-0000-0000-0000C0010000}"/>
    <cellStyle name="Normal 16 2 3" xfId="802" xr:uid="{00000000-0005-0000-0000-0000C1010000}"/>
    <cellStyle name="Normal 16 20" xfId="689" xr:uid="{00000000-0005-0000-0000-0000C2010000}"/>
    <cellStyle name="Normal 16 20 2" xfId="1631" xr:uid="{00000000-0005-0000-0000-0000C3010000}"/>
    <cellStyle name="Normal 16 20 3" xfId="1169" xr:uid="{00000000-0005-0000-0000-0000C4010000}"/>
    <cellStyle name="Normal 16 21" xfId="718" xr:uid="{00000000-0005-0000-0000-0000C5010000}"/>
    <cellStyle name="Normal 16 21 2" xfId="1651" xr:uid="{00000000-0005-0000-0000-0000C6010000}"/>
    <cellStyle name="Normal 16 21 3" xfId="1189" xr:uid="{00000000-0005-0000-0000-0000C7010000}"/>
    <cellStyle name="Normal 16 3" xfId="189" xr:uid="{00000000-0005-0000-0000-0000C8010000}"/>
    <cellStyle name="Normal 16 3 2" xfId="1284" xr:uid="{00000000-0005-0000-0000-0000C9010000}"/>
    <cellStyle name="Normal 16 3 3" xfId="822" xr:uid="{00000000-0005-0000-0000-0000CA010000}"/>
    <cellStyle name="Normal 16 4" xfId="219" xr:uid="{00000000-0005-0000-0000-0000CB010000}"/>
    <cellStyle name="Normal 16 4 2" xfId="1305" xr:uid="{00000000-0005-0000-0000-0000CC010000}"/>
    <cellStyle name="Normal 16 4 3" xfId="843" xr:uid="{00000000-0005-0000-0000-0000CD010000}"/>
    <cellStyle name="Normal 16 5" xfId="248" xr:uid="{00000000-0005-0000-0000-0000CE010000}"/>
    <cellStyle name="Normal 16 5 2" xfId="1325" xr:uid="{00000000-0005-0000-0000-0000CF010000}"/>
    <cellStyle name="Normal 16 5 3" xfId="863" xr:uid="{00000000-0005-0000-0000-0000D0010000}"/>
    <cellStyle name="Normal 16 6" xfId="277" xr:uid="{00000000-0005-0000-0000-0000D1010000}"/>
    <cellStyle name="Normal 16 6 2" xfId="1345" xr:uid="{00000000-0005-0000-0000-0000D2010000}"/>
    <cellStyle name="Normal 16 6 3" xfId="883" xr:uid="{00000000-0005-0000-0000-0000D3010000}"/>
    <cellStyle name="Normal 16 7" xfId="306" xr:uid="{00000000-0005-0000-0000-0000D4010000}"/>
    <cellStyle name="Normal 16 7 2" xfId="1365" xr:uid="{00000000-0005-0000-0000-0000D5010000}"/>
    <cellStyle name="Normal 16 7 3" xfId="903" xr:uid="{00000000-0005-0000-0000-0000D6010000}"/>
    <cellStyle name="Normal 16 8" xfId="335" xr:uid="{00000000-0005-0000-0000-0000D7010000}"/>
    <cellStyle name="Normal 16 8 2" xfId="1385" xr:uid="{00000000-0005-0000-0000-0000D8010000}"/>
    <cellStyle name="Normal 16 8 3" xfId="923" xr:uid="{00000000-0005-0000-0000-0000D9010000}"/>
    <cellStyle name="Normal 16 9" xfId="364" xr:uid="{00000000-0005-0000-0000-0000DA010000}"/>
    <cellStyle name="Normal 16 9 2" xfId="1405" xr:uid="{00000000-0005-0000-0000-0000DB010000}"/>
    <cellStyle name="Normal 16 9 3" xfId="943" xr:uid="{00000000-0005-0000-0000-0000DC010000}"/>
    <cellStyle name="Normal 17" xfId="57" xr:uid="{00000000-0005-0000-0000-0000DD010000}"/>
    <cellStyle name="Normal 17 10" xfId="395" xr:uid="{00000000-0005-0000-0000-0000DE010000}"/>
    <cellStyle name="Normal 17 10 2" xfId="1427" xr:uid="{00000000-0005-0000-0000-0000DF010000}"/>
    <cellStyle name="Normal 17 10 3" xfId="965" xr:uid="{00000000-0005-0000-0000-0000E0010000}"/>
    <cellStyle name="Normal 17 11" xfId="424" xr:uid="{00000000-0005-0000-0000-0000E1010000}"/>
    <cellStyle name="Normal 17 11 2" xfId="1447" xr:uid="{00000000-0005-0000-0000-0000E2010000}"/>
    <cellStyle name="Normal 17 11 3" xfId="985" xr:uid="{00000000-0005-0000-0000-0000E3010000}"/>
    <cellStyle name="Normal 17 12" xfId="453" xr:uid="{00000000-0005-0000-0000-0000E4010000}"/>
    <cellStyle name="Normal 17 12 2" xfId="1467" xr:uid="{00000000-0005-0000-0000-0000E5010000}"/>
    <cellStyle name="Normal 17 12 3" xfId="1005" xr:uid="{00000000-0005-0000-0000-0000E6010000}"/>
    <cellStyle name="Normal 17 13" xfId="482" xr:uid="{00000000-0005-0000-0000-0000E7010000}"/>
    <cellStyle name="Normal 17 13 2" xfId="1487" xr:uid="{00000000-0005-0000-0000-0000E8010000}"/>
    <cellStyle name="Normal 17 13 3" xfId="1025" xr:uid="{00000000-0005-0000-0000-0000E9010000}"/>
    <cellStyle name="Normal 17 14" xfId="511" xr:uid="{00000000-0005-0000-0000-0000EA010000}"/>
    <cellStyle name="Normal 17 14 2" xfId="1507" xr:uid="{00000000-0005-0000-0000-0000EB010000}"/>
    <cellStyle name="Normal 17 14 3" xfId="1045" xr:uid="{00000000-0005-0000-0000-0000EC010000}"/>
    <cellStyle name="Normal 17 15" xfId="541" xr:uid="{00000000-0005-0000-0000-0000ED010000}"/>
    <cellStyle name="Normal 17 15 2" xfId="1528" xr:uid="{00000000-0005-0000-0000-0000EE010000}"/>
    <cellStyle name="Normal 17 15 3" xfId="1066" xr:uid="{00000000-0005-0000-0000-0000EF010000}"/>
    <cellStyle name="Normal 17 16" xfId="571" xr:uid="{00000000-0005-0000-0000-0000F0010000}"/>
    <cellStyle name="Normal 17 16 2" xfId="1549" xr:uid="{00000000-0005-0000-0000-0000F1010000}"/>
    <cellStyle name="Normal 17 16 3" xfId="1087" xr:uid="{00000000-0005-0000-0000-0000F2010000}"/>
    <cellStyle name="Normal 17 17" xfId="601" xr:uid="{00000000-0005-0000-0000-0000F3010000}"/>
    <cellStyle name="Normal 17 17 2" xfId="1570" xr:uid="{00000000-0005-0000-0000-0000F4010000}"/>
    <cellStyle name="Normal 17 17 3" xfId="1108" xr:uid="{00000000-0005-0000-0000-0000F5010000}"/>
    <cellStyle name="Normal 17 18" xfId="631" xr:uid="{00000000-0005-0000-0000-0000F6010000}"/>
    <cellStyle name="Normal 17 18 2" xfId="1591" xr:uid="{00000000-0005-0000-0000-0000F7010000}"/>
    <cellStyle name="Normal 17 18 3" xfId="1129" xr:uid="{00000000-0005-0000-0000-0000F8010000}"/>
    <cellStyle name="Normal 17 19" xfId="661" xr:uid="{00000000-0005-0000-0000-0000F9010000}"/>
    <cellStyle name="Normal 17 19 2" xfId="1612" xr:uid="{00000000-0005-0000-0000-0000FA010000}"/>
    <cellStyle name="Normal 17 19 3" xfId="1150" xr:uid="{00000000-0005-0000-0000-0000FB010000}"/>
    <cellStyle name="Normal 17 2" xfId="159" xr:uid="{00000000-0005-0000-0000-0000FC010000}"/>
    <cellStyle name="Normal 17 2 2" xfId="1265" xr:uid="{00000000-0005-0000-0000-0000FD010000}"/>
    <cellStyle name="Normal 17 2 3" xfId="803" xr:uid="{00000000-0005-0000-0000-0000FE010000}"/>
    <cellStyle name="Normal 17 20" xfId="690" xr:uid="{00000000-0005-0000-0000-0000FF010000}"/>
    <cellStyle name="Normal 17 20 2" xfId="1632" xr:uid="{00000000-0005-0000-0000-000000020000}"/>
    <cellStyle name="Normal 17 20 3" xfId="1170" xr:uid="{00000000-0005-0000-0000-000001020000}"/>
    <cellStyle name="Normal 17 21" xfId="719" xr:uid="{00000000-0005-0000-0000-000002020000}"/>
    <cellStyle name="Normal 17 21 2" xfId="1652" xr:uid="{00000000-0005-0000-0000-000003020000}"/>
    <cellStyle name="Normal 17 21 3" xfId="1190" xr:uid="{00000000-0005-0000-0000-000004020000}"/>
    <cellStyle name="Normal 17 3" xfId="190" xr:uid="{00000000-0005-0000-0000-000005020000}"/>
    <cellStyle name="Normal 17 3 2" xfId="1285" xr:uid="{00000000-0005-0000-0000-000006020000}"/>
    <cellStyle name="Normal 17 3 3" xfId="823" xr:uid="{00000000-0005-0000-0000-000007020000}"/>
    <cellStyle name="Normal 17 4" xfId="220" xr:uid="{00000000-0005-0000-0000-000008020000}"/>
    <cellStyle name="Normal 17 4 2" xfId="1306" xr:uid="{00000000-0005-0000-0000-000009020000}"/>
    <cellStyle name="Normal 17 4 3" xfId="844" xr:uid="{00000000-0005-0000-0000-00000A020000}"/>
    <cellStyle name="Normal 17 5" xfId="249" xr:uid="{00000000-0005-0000-0000-00000B020000}"/>
    <cellStyle name="Normal 17 5 2" xfId="1326" xr:uid="{00000000-0005-0000-0000-00000C020000}"/>
    <cellStyle name="Normal 17 5 3" xfId="864" xr:uid="{00000000-0005-0000-0000-00000D020000}"/>
    <cellStyle name="Normal 17 6" xfId="278" xr:uid="{00000000-0005-0000-0000-00000E020000}"/>
    <cellStyle name="Normal 17 6 2" xfId="1346" xr:uid="{00000000-0005-0000-0000-00000F020000}"/>
    <cellStyle name="Normal 17 6 3" xfId="884" xr:uid="{00000000-0005-0000-0000-000010020000}"/>
    <cellStyle name="Normal 17 7" xfId="307" xr:uid="{00000000-0005-0000-0000-000011020000}"/>
    <cellStyle name="Normal 17 7 2" xfId="1366" xr:uid="{00000000-0005-0000-0000-000012020000}"/>
    <cellStyle name="Normal 17 7 3" xfId="904" xr:uid="{00000000-0005-0000-0000-000013020000}"/>
    <cellStyle name="Normal 17 8" xfId="336" xr:uid="{00000000-0005-0000-0000-000014020000}"/>
    <cellStyle name="Normal 17 8 2" xfId="1386" xr:uid="{00000000-0005-0000-0000-000015020000}"/>
    <cellStyle name="Normal 17 8 3" xfId="924" xr:uid="{00000000-0005-0000-0000-000016020000}"/>
    <cellStyle name="Normal 17 9" xfId="365" xr:uid="{00000000-0005-0000-0000-000017020000}"/>
    <cellStyle name="Normal 17 9 2" xfId="1406" xr:uid="{00000000-0005-0000-0000-000018020000}"/>
    <cellStyle name="Normal 17 9 3" xfId="944" xr:uid="{00000000-0005-0000-0000-000019020000}"/>
    <cellStyle name="Normal 18" xfId="58" xr:uid="{00000000-0005-0000-0000-00001A020000}"/>
    <cellStyle name="Normal 18 2" xfId="1653" xr:uid="{8182E6C7-A55C-420A-A056-0A44E6684A88}"/>
    <cellStyle name="Normal 19" xfId="726" xr:uid="{00000000-0005-0000-0000-00001B020000}"/>
    <cellStyle name="Normal 2" xfId="40" xr:uid="{00000000-0005-0000-0000-00001C020000}"/>
    <cellStyle name="Normal 2 10" xfId="143" xr:uid="{00000000-0005-0000-0000-00001D020000}"/>
    <cellStyle name="Normal 2 11" xfId="174" xr:uid="{00000000-0005-0000-0000-00001E020000}"/>
    <cellStyle name="Normal 2 12" xfId="204" xr:uid="{00000000-0005-0000-0000-00001F020000}"/>
    <cellStyle name="Normal 2 13" xfId="233" xr:uid="{00000000-0005-0000-0000-000020020000}"/>
    <cellStyle name="Normal 2 14" xfId="262" xr:uid="{00000000-0005-0000-0000-000021020000}"/>
    <cellStyle name="Normal 2 15" xfId="291" xr:uid="{00000000-0005-0000-0000-000022020000}"/>
    <cellStyle name="Normal 2 16" xfId="320" xr:uid="{00000000-0005-0000-0000-000023020000}"/>
    <cellStyle name="Normal 2 17" xfId="349" xr:uid="{00000000-0005-0000-0000-000024020000}"/>
    <cellStyle name="Normal 2 18" xfId="379" xr:uid="{00000000-0005-0000-0000-000025020000}"/>
    <cellStyle name="Normal 2 19" xfId="408" xr:uid="{00000000-0005-0000-0000-000026020000}"/>
    <cellStyle name="Normal 2 2" xfId="11" xr:uid="{00000000-0005-0000-0000-000027020000}"/>
    <cellStyle name="Normal 2 2 10" xfId="102" xr:uid="{00000000-0005-0000-0000-000028020000}"/>
    <cellStyle name="Normal 2 2 10 2" xfId="1222" xr:uid="{00000000-0005-0000-0000-000029020000}"/>
    <cellStyle name="Normal 2 2 10 3" xfId="760" xr:uid="{00000000-0005-0000-0000-00002A020000}"/>
    <cellStyle name="Normal 2 2 11" xfId="91" xr:uid="{00000000-0005-0000-0000-00002B020000}"/>
    <cellStyle name="Normal 2 2 11 2" xfId="1218" xr:uid="{00000000-0005-0000-0000-00002C020000}"/>
    <cellStyle name="Normal 2 2 11 3" xfId="756" xr:uid="{00000000-0005-0000-0000-00002D020000}"/>
    <cellStyle name="Normal 2 2 12" xfId="97" xr:uid="{00000000-0005-0000-0000-00002E020000}"/>
    <cellStyle name="Normal 2 2 12 2" xfId="1221" xr:uid="{00000000-0005-0000-0000-00002F020000}"/>
    <cellStyle name="Normal 2 2 12 3" xfId="759" xr:uid="{00000000-0005-0000-0000-000030020000}"/>
    <cellStyle name="Normal 2 2 13" xfId="106" xr:uid="{00000000-0005-0000-0000-000031020000}"/>
    <cellStyle name="Normal 2 2 13 2" xfId="1224" xr:uid="{00000000-0005-0000-0000-000032020000}"/>
    <cellStyle name="Normal 2 2 13 3" xfId="762" xr:uid="{00000000-0005-0000-0000-000033020000}"/>
    <cellStyle name="Normal 2 2 14" xfId="96" xr:uid="{00000000-0005-0000-0000-000034020000}"/>
    <cellStyle name="Normal 2 2 14 2" xfId="1220" xr:uid="{00000000-0005-0000-0000-000035020000}"/>
    <cellStyle name="Normal 2 2 14 3" xfId="758" xr:uid="{00000000-0005-0000-0000-000036020000}"/>
    <cellStyle name="Normal 2 2 15" xfId="109" xr:uid="{00000000-0005-0000-0000-000037020000}"/>
    <cellStyle name="Normal 2 2 15 2" xfId="1225" xr:uid="{00000000-0005-0000-0000-000038020000}"/>
    <cellStyle name="Normal 2 2 15 3" xfId="763" xr:uid="{00000000-0005-0000-0000-000039020000}"/>
    <cellStyle name="Normal 2 2 16" xfId="110" xr:uid="{00000000-0005-0000-0000-00003A020000}"/>
    <cellStyle name="Normal 2 2 16 2" xfId="1226" xr:uid="{00000000-0005-0000-0000-00003B020000}"/>
    <cellStyle name="Normal 2 2 16 3" xfId="764" xr:uid="{00000000-0005-0000-0000-00003C020000}"/>
    <cellStyle name="Normal 2 2 17" xfId="79" xr:uid="{00000000-0005-0000-0000-00003D020000}"/>
    <cellStyle name="Normal 2 2 17 2" xfId="1213" xr:uid="{00000000-0005-0000-0000-00003E020000}"/>
    <cellStyle name="Normal 2 2 17 3" xfId="751" xr:uid="{00000000-0005-0000-0000-00003F020000}"/>
    <cellStyle name="Normal 2 2 18" xfId="104" xr:uid="{00000000-0005-0000-0000-000040020000}"/>
    <cellStyle name="Normal 2 2 18 2" xfId="1223" xr:uid="{00000000-0005-0000-0000-000041020000}"/>
    <cellStyle name="Normal 2 2 18 3" xfId="761" xr:uid="{00000000-0005-0000-0000-000042020000}"/>
    <cellStyle name="Normal 2 2 19" xfId="113" xr:uid="{00000000-0005-0000-0000-000043020000}"/>
    <cellStyle name="Normal 2 2 19 2" xfId="1228" xr:uid="{00000000-0005-0000-0000-000044020000}"/>
    <cellStyle name="Normal 2 2 19 3" xfId="766" xr:uid="{00000000-0005-0000-0000-000045020000}"/>
    <cellStyle name="Normal 2 2 2" xfId="12" xr:uid="{00000000-0005-0000-0000-000046020000}"/>
    <cellStyle name="Normal 2 2 2 10" xfId="78" xr:uid="{00000000-0005-0000-0000-000047020000}"/>
    <cellStyle name="Normal 2 2 2 11" xfId="100" xr:uid="{00000000-0005-0000-0000-000048020000}"/>
    <cellStyle name="Normal 2 2 2 12" xfId="71" xr:uid="{00000000-0005-0000-0000-000049020000}"/>
    <cellStyle name="Normal 2 2 2 13" xfId="77" xr:uid="{00000000-0005-0000-0000-00004A020000}"/>
    <cellStyle name="Normal 2 2 2 14" xfId="87" xr:uid="{00000000-0005-0000-0000-00004B020000}"/>
    <cellStyle name="Normal 2 2 2 15" xfId="98" xr:uid="{00000000-0005-0000-0000-00004C020000}"/>
    <cellStyle name="Normal 2 2 2 16" xfId="68" xr:uid="{00000000-0005-0000-0000-00004D020000}"/>
    <cellStyle name="Normal 2 2 2 16 2" xfId="1210" xr:uid="{00000000-0005-0000-0000-00004E020000}"/>
    <cellStyle name="Normal 2 2 2 16 3" xfId="748" xr:uid="{00000000-0005-0000-0000-00004F020000}"/>
    <cellStyle name="Normal 2 2 2 17" xfId="136" xr:uid="{00000000-0005-0000-0000-000050020000}"/>
    <cellStyle name="Normal 2 2 2 17 2" xfId="1245" xr:uid="{00000000-0005-0000-0000-000051020000}"/>
    <cellStyle name="Normal 2 2 2 17 3" xfId="783" xr:uid="{00000000-0005-0000-0000-000052020000}"/>
    <cellStyle name="Normal 2 2 2 2" xfId="80" xr:uid="{00000000-0005-0000-0000-000053020000}"/>
    <cellStyle name="Normal 2 2 2 2 2" xfId="81" xr:uid="{00000000-0005-0000-0000-000054020000}"/>
    <cellStyle name="Normal 2 2 2 2 3" xfId="67" xr:uid="{00000000-0005-0000-0000-000055020000}"/>
    <cellStyle name="Normal 2 2 2 2 4" xfId="135" xr:uid="{00000000-0005-0000-0000-000056020000}"/>
    <cellStyle name="Normal 2 2 2 2 5" xfId="1214" xr:uid="{00000000-0005-0000-0000-000057020000}"/>
    <cellStyle name="Normal 2 2 2 2 6" xfId="752" xr:uid="{00000000-0005-0000-0000-000058020000}"/>
    <cellStyle name="Normal 2 2 2 3" xfId="93" xr:uid="{00000000-0005-0000-0000-000059020000}"/>
    <cellStyle name="Normal 2 2 2 4" xfId="88" xr:uid="{00000000-0005-0000-0000-00005A020000}"/>
    <cellStyle name="Normal 2 2 2 5" xfId="99" xr:uid="{00000000-0005-0000-0000-00005B020000}"/>
    <cellStyle name="Normal 2 2 2 6" xfId="107" xr:uid="{00000000-0005-0000-0000-00005C020000}"/>
    <cellStyle name="Normal 2 2 2 7" xfId="105" xr:uid="{00000000-0005-0000-0000-00005D020000}"/>
    <cellStyle name="Normal 2 2 2 8" xfId="108" xr:uid="{00000000-0005-0000-0000-00005E020000}"/>
    <cellStyle name="Normal 2 2 2 9" xfId="111" xr:uid="{00000000-0005-0000-0000-00005F020000}"/>
    <cellStyle name="Normal 2 2 20" xfId="63" xr:uid="{00000000-0005-0000-0000-000060020000}"/>
    <cellStyle name="Normal 2 2 21" xfId="85" xr:uid="{00000000-0005-0000-0000-000061020000}"/>
    <cellStyle name="Normal 2 2 22" xfId="1191" xr:uid="{00000000-0005-0000-0000-000062020000}"/>
    <cellStyle name="Normal 2 2 23" xfId="729" xr:uid="{00000000-0005-0000-0000-000063020000}"/>
    <cellStyle name="Normal 2 2 3" xfId="25" xr:uid="{00000000-0005-0000-0000-000064020000}"/>
    <cellStyle name="Normal 2 2 4" xfId="26" xr:uid="{00000000-0005-0000-0000-000065020000}"/>
    <cellStyle name="Normal 2 2 5" xfId="45" xr:uid="{00000000-0005-0000-0000-000066020000}"/>
    <cellStyle name="Normal 2 2 6" xfId="61" xr:uid="{00000000-0005-0000-0000-000067020000}"/>
    <cellStyle name="Normal 2 2 7" xfId="65" xr:uid="{00000000-0005-0000-0000-000068020000}"/>
    <cellStyle name="Normal 2 2 7 2" xfId="86" xr:uid="{00000000-0005-0000-0000-000069020000}"/>
    <cellStyle name="Normal 2 2 7 2 2" xfId="1216" xr:uid="{00000000-0005-0000-0000-00006A020000}"/>
    <cellStyle name="Normal 2 2 7 2 3" xfId="754" xr:uid="{00000000-0005-0000-0000-00006B020000}"/>
    <cellStyle name="Normal 2 2 7 3" xfId="130" xr:uid="{00000000-0005-0000-0000-00006C020000}"/>
    <cellStyle name="Normal 2 2 7 3 2" xfId="1242" xr:uid="{00000000-0005-0000-0000-00006D020000}"/>
    <cellStyle name="Normal 2 2 7 3 3" xfId="780" xr:uid="{00000000-0005-0000-0000-00006E020000}"/>
    <cellStyle name="Normal 2 2 7 4" xfId="133" xr:uid="{00000000-0005-0000-0000-00006F020000}"/>
    <cellStyle name="Normal 2 2 7 4 2" xfId="1244" xr:uid="{00000000-0005-0000-0000-000070020000}"/>
    <cellStyle name="Normal 2 2 7 4 3" xfId="782" xr:uid="{00000000-0005-0000-0000-000071020000}"/>
    <cellStyle name="Normal 2 2 8" xfId="89" xr:uid="{00000000-0005-0000-0000-000072020000}"/>
    <cellStyle name="Normal 2 2 8 2" xfId="1217" xr:uid="{00000000-0005-0000-0000-000073020000}"/>
    <cellStyle name="Normal 2 2 8 3" xfId="755" xr:uid="{00000000-0005-0000-0000-000074020000}"/>
    <cellStyle name="Normal 2 2 9" xfId="74" xr:uid="{00000000-0005-0000-0000-000075020000}"/>
    <cellStyle name="Normal 2 2 9 2" xfId="1212" xr:uid="{00000000-0005-0000-0000-000076020000}"/>
    <cellStyle name="Normal 2 2 9 3" xfId="750" xr:uid="{00000000-0005-0000-0000-000077020000}"/>
    <cellStyle name="Normal 2 20" xfId="437" xr:uid="{00000000-0005-0000-0000-000078020000}"/>
    <cellStyle name="Normal 2 21" xfId="466" xr:uid="{00000000-0005-0000-0000-000079020000}"/>
    <cellStyle name="Normal 2 22" xfId="495" xr:uid="{00000000-0005-0000-0000-00007A020000}"/>
    <cellStyle name="Normal 2 23" xfId="525" xr:uid="{00000000-0005-0000-0000-00007B020000}"/>
    <cellStyle name="Normal 2 24" xfId="555" xr:uid="{00000000-0005-0000-0000-00007C020000}"/>
    <cellStyle name="Normal 2 25" xfId="585" xr:uid="{00000000-0005-0000-0000-00007D020000}"/>
    <cellStyle name="Normal 2 26" xfId="615" xr:uid="{00000000-0005-0000-0000-00007E020000}"/>
    <cellStyle name="Normal 2 27" xfId="645" xr:uid="{00000000-0005-0000-0000-00007F020000}"/>
    <cellStyle name="Normal 2 28" xfId="674" xr:uid="{00000000-0005-0000-0000-000080020000}"/>
    <cellStyle name="Normal 2 29" xfId="703" xr:uid="{00000000-0005-0000-0000-000081020000}"/>
    <cellStyle name="Normal 2 3" xfId="13" xr:uid="{00000000-0005-0000-0000-000082020000}"/>
    <cellStyle name="Normal 2 3 10" xfId="72" xr:uid="{00000000-0005-0000-0000-000083020000}"/>
    <cellStyle name="Normal 2 3 11" xfId="95" xr:uid="{00000000-0005-0000-0000-000084020000}"/>
    <cellStyle name="Normal 2 3 12" xfId="76" xr:uid="{00000000-0005-0000-0000-000085020000}"/>
    <cellStyle name="Normal 2 3 13" xfId="103" xr:uid="{00000000-0005-0000-0000-000086020000}"/>
    <cellStyle name="Normal 2 3 14" xfId="114" xr:uid="{00000000-0005-0000-0000-000087020000}"/>
    <cellStyle name="Normal 2 3 15" xfId="116" xr:uid="{00000000-0005-0000-0000-000088020000}"/>
    <cellStyle name="Normal 2 3 16" xfId="118" xr:uid="{00000000-0005-0000-0000-000089020000}"/>
    <cellStyle name="Normal 2 3 17" xfId="84" xr:uid="{00000000-0005-0000-0000-00008A020000}"/>
    <cellStyle name="Normal 2 3 17 2" xfId="1215" xr:uid="{00000000-0005-0000-0000-00008B020000}"/>
    <cellStyle name="Normal 2 3 17 3" xfId="753" xr:uid="{00000000-0005-0000-0000-00008C020000}"/>
    <cellStyle name="Normal 2 3 18" xfId="129" xr:uid="{00000000-0005-0000-0000-00008D020000}"/>
    <cellStyle name="Normal 2 3 18 2" xfId="1241" xr:uid="{00000000-0005-0000-0000-00008E020000}"/>
    <cellStyle name="Normal 2 3 18 3" xfId="779" xr:uid="{00000000-0005-0000-0000-00008F020000}"/>
    <cellStyle name="Normal 2 3 2" xfId="59" xr:uid="{00000000-0005-0000-0000-000090020000}"/>
    <cellStyle name="Normal 2 3 2 10" xfId="123" xr:uid="{00000000-0005-0000-0000-000091020000}"/>
    <cellStyle name="Normal 2 3 2 10 2" xfId="1235" xr:uid="{00000000-0005-0000-0000-000092020000}"/>
    <cellStyle name="Normal 2 3 2 10 3" xfId="773" xr:uid="{00000000-0005-0000-0000-000093020000}"/>
    <cellStyle name="Normal 2 3 2 11" xfId="124" xr:uid="{00000000-0005-0000-0000-000094020000}"/>
    <cellStyle name="Normal 2 3 2 11 2" xfId="1236" xr:uid="{00000000-0005-0000-0000-000095020000}"/>
    <cellStyle name="Normal 2 3 2 11 3" xfId="774" xr:uid="{00000000-0005-0000-0000-000096020000}"/>
    <cellStyle name="Normal 2 3 2 12" xfId="125" xr:uid="{00000000-0005-0000-0000-000097020000}"/>
    <cellStyle name="Normal 2 3 2 12 2" xfId="1237" xr:uid="{00000000-0005-0000-0000-000098020000}"/>
    <cellStyle name="Normal 2 3 2 12 3" xfId="775" xr:uid="{00000000-0005-0000-0000-000099020000}"/>
    <cellStyle name="Normal 2 3 2 13" xfId="126" xr:uid="{00000000-0005-0000-0000-00009A020000}"/>
    <cellStyle name="Normal 2 3 2 13 2" xfId="1238" xr:uid="{00000000-0005-0000-0000-00009B020000}"/>
    <cellStyle name="Normal 2 3 2 13 3" xfId="776" xr:uid="{00000000-0005-0000-0000-00009C020000}"/>
    <cellStyle name="Normal 2 3 2 14" xfId="127" xr:uid="{00000000-0005-0000-0000-00009D020000}"/>
    <cellStyle name="Normal 2 3 2 14 2" xfId="1239" xr:uid="{00000000-0005-0000-0000-00009E020000}"/>
    <cellStyle name="Normal 2 3 2 14 3" xfId="777" xr:uid="{00000000-0005-0000-0000-00009F020000}"/>
    <cellStyle name="Normal 2 3 2 15" xfId="128" xr:uid="{00000000-0005-0000-0000-0000A0020000}"/>
    <cellStyle name="Normal 2 3 2 15 2" xfId="1240" xr:uid="{00000000-0005-0000-0000-0000A1020000}"/>
    <cellStyle name="Normal 2 3 2 15 3" xfId="778" xr:uid="{00000000-0005-0000-0000-0000A2020000}"/>
    <cellStyle name="Normal 2 3 2 16" xfId="66" xr:uid="{00000000-0005-0000-0000-0000A3020000}"/>
    <cellStyle name="Normal 2 3 2 17" xfId="134" xr:uid="{00000000-0005-0000-0000-0000A4020000}"/>
    <cellStyle name="Normal 2 3 2 18" xfId="1206" xr:uid="{00000000-0005-0000-0000-0000A5020000}"/>
    <cellStyle name="Normal 2 3 2 19" xfId="744" xr:uid="{00000000-0005-0000-0000-0000A6020000}"/>
    <cellStyle name="Normal 2 3 2 2" xfId="82" xr:uid="{00000000-0005-0000-0000-0000A7020000}"/>
    <cellStyle name="Normal 2 3 2 2 2" xfId="94" xr:uid="{00000000-0005-0000-0000-0000A8020000}"/>
    <cellStyle name="Normal 2 3 2 2 2 2" xfId="1219" xr:uid="{00000000-0005-0000-0000-0000A9020000}"/>
    <cellStyle name="Normal 2 3 2 2 2 3" xfId="757" xr:uid="{00000000-0005-0000-0000-0000AA020000}"/>
    <cellStyle name="Normal 2 3 2 2 3" xfId="132" xr:uid="{00000000-0005-0000-0000-0000AB020000}"/>
    <cellStyle name="Normal 2 3 2 2 3 2" xfId="1243" xr:uid="{00000000-0005-0000-0000-0000AC020000}"/>
    <cellStyle name="Normal 2 3 2 2 3 3" xfId="781" xr:uid="{00000000-0005-0000-0000-0000AD020000}"/>
    <cellStyle name="Normal 2 3 2 2 4" xfId="64" xr:uid="{00000000-0005-0000-0000-0000AE020000}"/>
    <cellStyle name="Normal 2 3 2 2 4 2" xfId="1209" xr:uid="{00000000-0005-0000-0000-0000AF020000}"/>
    <cellStyle name="Normal 2 3 2 2 4 3" xfId="747" xr:uid="{00000000-0005-0000-0000-0000B0020000}"/>
    <cellStyle name="Normal 2 3 2 3" xfId="112" xr:uid="{00000000-0005-0000-0000-0000B1020000}"/>
    <cellStyle name="Normal 2 3 2 3 2" xfId="1227" xr:uid="{00000000-0005-0000-0000-0000B2020000}"/>
    <cellStyle name="Normal 2 3 2 3 3" xfId="765" xr:uid="{00000000-0005-0000-0000-0000B3020000}"/>
    <cellStyle name="Normal 2 3 2 4" xfId="115" xr:uid="{00000000-0005-0000-0000-0000B4020000}"/>
    <cellStyle name="Normal 2 3 2 4 2" xfId="1229" xr:uid="{00000000-0005-0000-0000-0000B5020000}"/>
    <cellStyle name="Normal 2 3 2 4 3" xfId="767" xr:uid="{00000000-0005-0000-0000-0000B6020000}"/>
    <cellStyle name="Normal 2 3 2 5" xfId="117" xr:uid="{00000000-0005-0000-0000-0000B7020000}"/>
    <cellStyle name="Normal 2 3 2 5 2" xfId="1230" xr:uid="{00000000-0005-0000-0000-0000B8020000}"/>
    <cellStyle name="Normal 2 3 2 5 3" xfId="768" xr:uid="{00000000-0005-0000-0000-0000B9020000}"/>
    <cellStyle name="Normal 2 3 2 6" xfId="119" xr:uid="{00000000-0005-0000-0000-0000BA020000}"/>
    <cellStyle name="Normal 2 3 2 6 2" xfId="1231" xr:uid="{00000000-0005-0000-0000-0000BB020000}"/>
    <cellStyle name="Normal 2 3 2 6 3" xfId="769" xr:uid="{00000000-0005-0000-0000-0000BC020000}"/>
    <cellStyle name="Normal 2 3 2 7" xfId="120" xr:uid="{00000000-0005-0000-0000-0000BD020000}"/>
    <cellStyle name="Normal 2 3 2 7 2" xfId="1232" xr:uid="{00000000-0005-0000-0000-0000BE020000}"/>
    <cellStyle name="Normal 2 3 2 7 3" xfId="770" xr:uid="{00000000-0005-0000-0000-0000BF020000}"/>
    <cellStyle name="Normal 2 3 2 8" xfId="121" xr:uid="{00000000-0005-0000-0000-0000C0020000}"/>
    <cellStyle name="Normal 2 3 2 8 2" xfId="1233" xr:uid="{00000000-0005-0000-0000-0000C1020000}"/>
    <cellStyle name="Normal 2 3 2 8 3" xfId="771" xr:uid="{00000000-0005-0000-0000-0000C2020000}"/>
    <cellStyle name="Normal 2 3 2 9" xfId="122" xr:uid="{00000000-0005-0000-0000-0000C3020000}"/>
    <cellStyle name="Normal 2 3 2 9 2" xfId="1234" xr:uid="{00000000-0005-0000-0000-0000C4020000}"/>
    <cellStyle name="Normal 2 3 2 9 3" xfId="772" xr:uid="{00000000-0005-0000-0000-0000C5020000}"/>
    <cellStyle name="Normal 2 3 3" xfId="62" xr:uid="{00000000-0005-0000-0000-0000C6020000}"/>
    <cellStyle name="Normal 2 3 3 2" xfId="1208" xr:uid="{00000000-0005-0000-0000-0000C7020000}"/>
    <cellStyle name="Normal 2 3 3 3" xfId="746" xr:uid="{00000000-0005-0000-0000-0000C8020000}"/>
    <cellStyle name="Normal 2 3 4" xfId="69" xr:uid="{00000000-0005-0000-0000-0000C9020000}"/>
    <cellStyle name="Normal 2 3 4 2" xfId="92" xr:uid="{00000000-0005-0000-0000-0000CA020000}"/>
    <cellStyle name="Normal 2 3 4 3" xfId="131" xr:uid="{00000000-0005-0000-0000-0000CB020000}"/>
    <cellStyle name="Normal 2 3 4 4" xfId="83" xr:uid="{00000000-0005-0000-0000-0000CC020000}"/>
    <cellStyle name="Normal 2 3 4 5" xfId="1211" xr:uid="{00000000-0005-0000-0000-0000CD020000}"/>
    <cellStyle name="Normal 2 3 4 6" xfId="749" xr:uid="{00000000-0005-0000-0000-0000CE020000}"/>
    <cellStyle name="Normal 2 3 5" xfId="101" xr:uid="{00000000-0005-0000-0000-0000CF020000}"/>
    <cellStyle name="Normal 2 3 6" xfId="90" xr:uid="{00000000-0005-0000-0000-0000D0020000}"/>
    <cellStyle name="Normal 2 3 7" xfId="73" xr:uid="{00000000-0005-0000-0000-0000D1020000}"/>
    <cellStyle name="Normal 2 3 8" xfId="70" xr:uid="{00000000-0005-0000-0000-0000D2020000}"/>
    <cellStyle name="Normal 2 3 9" xfId="75" xr:uid="{00000000-0005-0000-0000-0000D3020000}"/>
    <cellStyle name="Normal 2 30" xfId="1658" xr:uid="{E0252EEC-B75E-4259-A46F-182F73D027A2}"/>
    <cellStyle name="Normal 2 4" xfId="14" xr:uid="{00000000-0005-0000-0000-0000D4020000}"/>
    <cellStyle name="Normal 2 5" xfId="15" xr:uid="{00000000-0005-0000-0000-0000D5020000}"/>
    <cellStyle name="Normal 2 6" xfId="16" xr:uid="{00000000-0005-0000-0000-0000D6020000}"/>
    <cellStyle name="Normal 2 7" xfId="17" xr:uid="{00000000-0005-0000-0000-0000D7020000}"/>
    <cellStyle name="Normal 2 8" xfId="24" xr:uid="{00000000-0005-0000-0000-0000D8020000}"/>
    <cellStyle name="Normal 2 8 2" xfId="1192" xr:uid="{00000000-0005-0000-0000-0000D9020000}"/>
    <cellStyle name="Normal 2 8 3" xfId="730" xr:uid="{00000000-0005-0000-0000-0000DA020000}"/>
    <cellStyle name="Normal 2 9" xfId="27" xr:uid="{00000000-0005-0000-0000-0000DB020000}"/>
    <cellStyle name="Normal 2 9 2" xfId="1193" xr:uid="{00000000-0005-0000-0000-0000DC020000}"/>
    <cellStyle name="Normal 2 9 3" xfId="731" xr:uid="{00000000-0005-0000-0000-0000DD020000}"/>
    <cellStyle name="Normal 20" xfId="160" xr:uid="{00000000-0005-0000-0000-0000DE020000}"/>
    <cellStyle name="Normal 20 2" xfId="727" xr:uid="{00000000-0005-0000-0000-0000DF020000}"/>
    <cellStyle name="Normal 21" xfId="1659" xr:uid="{1435A98C-8E8E-4342-A22A-D3448926D2AB}"/>
    <cellStyle name="Normal 3" xfId="44" xr:uid="{00000000-0005-0000-0000-0000E0020000}"/>
    <cellStyle name="Normal 3 10" xfId="380" xr:uid="{00000000-0005-0000-0000-0000E1020000}"/>
    <cellStyle name="Normal 3 10 2" xfId="1414" xr:uid="{00000000-0005-0000-0000-0000E2020000}"/>
    <cellStyle name="Normal 3 10 3" xfId="952" xr:uid="{00000000-0005-0000-0000-0000E3020000}"/>
    <cellStyle name="Normal 3 11" xfId="409" xr:uid="{00000000-0005-0000-0000-0000E4020000}"/>
    <cellStyle name="Normal 3 11 2" xfId="1434" xr:uid="{00000000-0005-0000-0000-0000E5020000}"/>
    <cellStyle name="Normal 3 11 3" xfId="972" xr:uid="{00000000-0005-0000-0000-0000E6020000}"/>
    <cellStyle name="Normal 3 12" xfId="438" xr:uid="{00000000-0005-0000-0000-0000E7020000}"/>
    <cellStyle name="Normal 3 12 2" xfId="1454" xr:uid="{00000000-0005-0000-0000-0000E8020000}"/>
    <cellStyle name="Normal 3 12 3" xfId="992" xr:uid="{00000000-0005-0000-0000-0000E9020000}"/>
    <cellStyle name="Normal 3 13" xfId="467" xr:uid="{00000000-0005-0000-0000-0000EA020000}"/>
    <cellStyle name="Normal 3 13 2" xfId="1474" xr:uid="{00000000-0005-0000-0000-0000EB020000}"/>
    <cellStyle name="Normal 3 13 3" xfId="1012" xr:uid="{00000000-0005-0000-0000-0000EC020000}"/>
    <cellStyle name="Normal 3 14" xfId="496" xr:uid="{00000000-0005-0000-0000-0000ED020000}"/>
    <cellStyle name="Normal 3 14 2" xfId="1494" xr:uid="{00000000-0005-0000-0000-0000EE020000}"/>
    <cellStyle name="Normal 3 14 3" xfId="1032" xr:uid="{00000000-0005-0000-0000-0000EF020000}"/>
    <cellStyle name="Normal 3 15" xfId="526" xr:uid="{00000000-0005-0000-0000-0000F0020000}"/>
    <cellStyle name="Normal 3 15 2" xfId="1515" xr:uid="{00000000-0005-0000-0000-0000F1020000}"/>
    <cellStyle name="Normal 3 15 3" xfId="1053" xr:uid="{00000000-0005-0000-0000-0000F2020000}"/>
    <cellStyle name="Normal 3 16" xfId="556" xr:uid="{00000000-0005-0000-0000-0000F3020000}"/>
    <cellStyle name="Normal 3 16 2" xfId="1536" xr:uid="{00000000-0005-0000-0000-0000F4020000}"/>
    <cellStyle name="Normal 3 16 3" xfId="1074" xr:uid="{00000000-0005-0000-0000-0000F5020000}"/>
    <cellStyle name="Normal 3 17" xfId="586" xr:uid="{00000000-0005-0000-0000-0000F6020000}"/>
    <cellStyle name="Normal 3 17 2" xfId="1557" xr:uid="{00000000-0005-0000-0000-0000F7020000}"/>
    <cellStyle name="Normal 3 17 3" xfId="1095" xr:uid="{00000000-0005-0000-0000-0000F8020000}"/>
    <cellStyle name="Normal 3 18" xfId="616" xr:uid="{00000000-0005-0000-0000-0000F9020000}"/>
    <cellStyle name="Normal 3 18 2" xfId="1578" xr:uid="{00000000-0005-0000-0000-0000FA020000}"/>
    <cellStyle name="Normal 3 18 3" xfId="1116" xr:uid="{00000000-0005-0000-0000-0000FB020000}"/>
    <cellStyle name="Normal 3 19" xfId="646" xr:uid="{00000000-0005-0000-0000-0000FC020000}"/>
    <cellStyle name="Normal 3 19 2" xfId="1599" xr:uid="{00000000-0005-0000-0000-0000FD020000}"/>
    <cellStyle name="Normal 3 19 3" xfId="1137" xr:uid="{00000000-0005-0000-0000-0000FE020000}"/>
    <cellStyle name="Normal 3 2" xfId="144" xr:uid="{00000000-0005-0000-0000-0000FF020000}"/>
    <cellStyle name="Normal 3 2 2" xfId="1252" xr:uid="{00000000-0005-0000-0000-000000030000}"/>
    <cellStyle name="Normal 3 2 3" xfId="790" xr:uid="{00000000-0005-0000-0000-000001030000}"/>
    <cellStyle name="Normal 3 20" xfId="675" xr:uid="{00000000-0005-0000-0000-000002030000}"/>
    <cellStyle name="Normal 3 20 2" xfId="1619" xr:uid="{00000000-0005-0000-0000-000003030000}"/>
    <cellStyle name="Normal 3 20 3" xfId="1157" xr:uid="{00000000-0005-0000-0000-000004030000}"/>
    <cellStyle name="Normal 3 21" xfId="704" xr:uid="{00000000-0005-0000-0000-000005030000}"/>
    <cellStyle name="Normal 3 21 2" xfId="1639" xr:uid="{00000000-0005-0000-0000-000006030000}"/>
    <cellStyle name="Normal 3 21 3" xfId="1177" xr:uid="{00000000-0005-0000-0000-000007030000}"/>
    <cellStyle name="Normal 3 3" xfId="175" xr:uid="{00000000-0005-0000-0000-000008030000}"/>
    <cellStyle name="Normal 3 3 2" xfId="1272" xr:uid="{00000000-0005-0000-0000-000009030000}"/>
    <cellStyle name="Normal 3 3 3" xfId="810" xr:uid="{00000000-0005-0000-0000-00000A030000}"/>
    <cellStyle name="Normal 3 4" xfId="205" xr:uid="{00000000-0005-0000-0000-00000B030000}"/>
    <cellStyle name="Normal 3 4 2" xfId="1293" xr:uid="{00000000-0005-0000-0000-00000C030000}"/>
    <cellStyle name="Normal 3 4 3" xfId="831" xr:uid="{00000000-0005-0000-0000-00000D030000}"/>
    <cellStyle name="Normal 3 5" xfId="234" xr:uid="{00000000-0005-0000-0000-00000E030000}"/>
    <cellStyle name="Normal 3 5 2" xfId="1313" xr:uid="{00000000-0005-0000-0000-00000F030000}"/>
    <cellStyle name="Normal 3 5 3" xfId="851" xr:uid="{00000000-0005-0000-0000-000010030000}"/>
    <cellStyle name="Normal 3 6" xfId="263" xr:uid="{00000000-0005-0000-0000-000011030000}"/>
    <cellStyle name="Normal 3 6 2" xfId="1333" xr:uid="{00000000-0005-0000-0000-000012030000}"/>
    <cellStyle name="Normal 3 6 3" xfId="871" xr:uid="{00000000-0005-0000-0000-000013030000}"/>
    <cellStyle name="Normal 3 7" xfId="292" xr:uid="{00000000-0005-0000-0000-000014030000}"/>
    <cellStyle name="Normal 3 7 2" xfId="1353" xr:uid="{00000000-0005-0000-0000-000015030000}"/>
    <cellStyle name="Normal 3 7 3" xfId="891" xr:uid="{00000000-0005-0000-0000-000016030000}"/>
    <cellStyle name="Normal 3 8" xfId="321" xr:uid="{00000000-0005-0000-0000-000017030000}"/>
    <cellStyle name="Normal 3 8 2" xfId="1373" xr:uid="{00000000-0005-0000-0000-000018030000}"/>
    <cellStyle name="Normal 3 8 3" xfId="911" xr:uid="{00000000-0005-0000-0000-000019030000}"/>
    <cellStyle name="Normal 3 9" xfId="350" xr:uid="{00000000-0005-0000-0000-00001A030000}"/>
    <cellStyle name="Normal 3 9 2" xfId="1393" xr:uid="{00000000-0005-0000-0000-00001B030000}"/>
    <cellStyle name="Normal 3 9 3" xfId="931" xr:uid="{00000000-0005-0000-0000-00001C030000}"/>
    <cellStyle name="Normal 4" xfId="43" xr:uid="{00000000-0005-0000-0000-00001D030000}"/>
    <cellStyle name="Normal 4 10" xfId="381" xr:uid="{00000000-0005-0000-0000-00001E030000}"/>
    <cellStyle name="Normal 4 11" xfId="410" xr:uid="{00000000-0005-0000-0000-00001F030000}"/>
    <cellStyle name="Normal 4 12" xfId="439" xr:uid="{00000000-0005-0000-0000-000020030000}"/>
    <cellStyle name="Normal 4 13" xfId="468" xr:uid="{00000000-0005-0000-0000-000021030000}"/>
    <cellStyle name="Normal 4 14" xfId="497" xr:uid="{00000000-0005-0000-0000-000022030000}"/>
    <cellStyle name="Normal 4 15" xfId="527" xr:uid="{00000000-0005-0000-0000-000023030000}"/>
    <cellStyle name="Normal 4 16" xfId="557" xr:uid="{00000000-0005-0000-0000-000024030000}"/>
    <cellStyle name="Normal 4 17" xfId="587" xr:uid="{00000000-0005-0000-0000-000025030000}"/>
    <cellStyle name="Normal 4 18" xfId="617" xr:uid="{00000000-0005-0000-0000-000026030000}"/>
    <cellStyle name="Normal 4 19" xfId="647" xr:uid="{00000000-0005-0000-0000-000027030000}"/>
    <cellStyle name="Normal 4 2" xfId="145" xr:uid="{00000000-0005-0000-0000-000028030000}"/>
    <cellStyle name="Normal 4 20" xfId="676" xr:uid="{00000000-0005-0000-0000-000029030000}"/>
    <cellStyle name="Normal 4 21" xfId="705" xr:uid="{00000000-0005-0000-0000-00002A030000}"/>
    <cellStyle name="Normal 4 3" xfId="176" xr:uid="{00000000-0005-0000-0000-00002B030000}"/>
    <cellStyle name="Normal 4 4" xfId="206" xr:uid="{00000000-0005-0000-0000-00002C030000}"/>
    <cellStyle name="Normal 4 5" xfId="235" xr:uid="{00000000-0005-0000-0000-00002D030000}"/>
    <cellStyle name="Normal 4 6" xfId="264" xr:uid="{00000000-0005-0000-0000-00002E030000}"/>
    <cellStyle name="Normal 4 7" xfId="293" xr:uid="{00000000-0005-0000-0000-00002F030000}"/>
    <cellStyle name="Normal 4 8" xfId="322" xr:uid="{00000000-0005-0000-0000-000030030000}"/>
    <cellStyle name="Normal 4 9" xfId="351" xr:uid="{00000000-0005-0000-0000-000031030000}"/>
    <cellStyle name="Normal 5" xfId="46" xr:uid="{00000000-0005-0000-0000-000032030000}"/>
    <cellStyle name="Normal 5 10" xfId="383" xr:uid="{00000000-0005-0000-0000-000033030000}"/>
    <cellStyle name="Normal 5 10 2" xfId="1415" xr:uid="{00000000-0005-0000-0000-000034030000}"/>
    <cellStyle name="Normal 5 10 3" xfId="953" xr:uid="{00000000-0005-0000-0000-000035030000}"/>
    <cellStyle name="Normal 5 11" xfId="412" xr:uid="{00000000-0005-0000-0000-000036030000}"/>
    <cellStyle name="Normal 5 11 2" xfId="1435" xr:uid="{00000000-0005-0000-0000-000037030000}"/>
    <cellStyle name="Normal 5 11 3" xfId="973" xr:uid="{00000000-0005-0000-0000-000038030000}"/>
    <cellStyle name="Normal 5 12" xfId="441" xr:uid="{00000000-0005-0000-0000-000039030000}"/>
    <cellStyle name="Normal 5 12 2" xfId="1455" xr:uid="{00000000-0005-0000-0000-00003A030000}"/>
    <cellStyle name="Normal 5 12 3" xfId="993" xr:uid="{00000000-0005-0000-0000-00003B030000}"/>
    <cellStyle name="Normal 5 13" xfId="470" xr:uid="{00000000-0005-0000-0000-00003C030000}"/>
    <cellStyle name="Normal 5 13 2" xfId="1475" xr:uid="{00000000-0005-0000-0000-00003D030000}"/>
    <cellStyle name="Normal 5 13 3" xfId="1013" xr:uid="{00000000-0005-0000-0000-00003E030000}"/>
    <cellStyle name="Normal 5 14" xfId="499" xr:uid="{00000000-0005-0000-0000-00003F030000}"/>
    <cellStyle name="Normal 5 14 2" xfId="1495" xr:uid="{00000000-0005-0000-0000-000040030000}"/>
    <cellStyle name="Normal 5 14 3" xfId="1033" xr:uid="{00000000-0005-0000-0000-000041030000}"/>
    <cellStyle name="Normal 5 15" xfId="529" xr:uid="{00000000-0005-0000-0000-000042030000}"/>
    <cellStyle name="Normal 5 15 2" xfId="1516" xr:uid="{00000000-0005-0000-0000-000043030000}"/>
    <cellStyle name="Normal 5 15 3" xfId="1054" xr:uid="{00000000-0005-0000-0000-000044030000}"/>
    <cellStyle name="Normal 5 16" xfId="559" xr:uid="{00000000-0005-0000-0000-000045030000}"/>
    <cellStyle name="Normal 5 16 2" xfId="1537" xr:uid="{00000000-0005-0000-0000-000046030000}"/>
    <cellStyle name="Normal 5 16 3" xfId="1075" xr:uid="{00000000-0005-0000-0000-000047030000}"/>
    <cellStyle name="Normal 5 17" xfId="589" xr:uid="{00000000-0005-0000-0000-000048030000}"/>
    <cellStyle name="Normal 5 17 2" xfId="1558" xr:uid="{00000000-0005-0000-0000-000049030000}"/>
    <cellStyle name="Normal 5 17 3" xfId="1096" xr:uid="{00000000-0005-0000-0000-00004A030000}"/>
    <cellStyle name="Normal 5 18" xfId="619" xr:uid="{00000000-0005-0000-0000-00004B030000}"/>
    <cellStyle name="Normal 5 18 2" xfId="1579" xr:uid="{00000000-0005-0000-0000-00004C030000}"/>
    <cellStyle name="Normal 5 18 3" xfId="1117" xr:uid="{00000000-0005-0000-0000-00004D030000}"/>
    <cellStyle name="Normal 5 19" xfId="649" xr:uid="{00000000-0005-0000-0000-00004E030000}"/>
    <cellStyle name="Normal 5 19 2" xfId="1600" xr:uid="{00000000-0005-0000-0000-00004F030000}"/>
    <cellStyle name="Normal 5 19 3" xfId="1138" xr:uid="{00000000-0005-0000-0000-000050030000}"/>
    <cellStyle name="Normal 5 2" xfId="147" xr:uid="{00000000-0005-0000-0000-000051030000}"/>
    <cellStyle name="Normal 5 2 2" xfId="1253" xr:uid="{00000000-0005-0000-0000-000052030000}"/>
    <cellStyle name="Normal 5 2 3" xfId="791" xr:uid="{00000000-0005-0000-0000-000053030000}"/>
    <cellStyle name="Normal 5 20" xfId="678" xr:uid="{00000000-0005-0000-0000-000054030000}"/>
    <cellStyle name="Normal 5 20 2" xfId="1620" xr:uid="{00000000-0005-0000-0000-000055030000}"/>
    <cellStyle name="Normal 5 20 3" xfId="1158" xr:uid="{00000000-0005-0000-0000-000056030000}"/>
    <cellStyle name="Normal 5 21" xfId="707" xr:uid="{00000000-0005-0000-0000-000057030000}"/>
    <cellStyle name="Normal 5 21 2" xfId="1640" xr:uid="{00000000-0005-0000-0000-000058030000}"/>
    <cellStyle name="Normal 5 21 3" xfId="1178" xr:uid="{00000000-0005-0000-0000-000059030000}"/>
    <cellStyle name="Normal 5 22" xfId="1656" xr:uid="{AB101175-2FFC-4421-B447-93479ABC8CE2}"/>
    <cellStyle name="Normal 5 3" xfId="178" xr:uid="{00000000-0005-0000-0000-00005A030000}"/>
    <cellStyle name="Normal 5 3 2" xfId="1273" xr:uid="{00000000-0005-0000-0000-00005B030000}"/>
    <cellStyle name="Normal 5 3 3" xfId="811" xr:uid="{00000000-0005-0000-0000-00005C030000}"/>
    <cellStyle name="Normal 5 4" xfId="208" xr:uid="{00000000-0005-0000-0000-00005D030000}"/>
    <cellStyle name="Normal 5 4 2" xfId="1294" xr:uid="{00000000-0005-0000-0000-00005E030000}"/>
    <cellStyle name="Normal 5 4 3" xfId="832" xr:uid="{00000000-0005-0000-0000-00005F030000}"/>
    <cellStyle name="Normal 5 5" xfId="237" xr:uid="{00000000-0005-0000-0000-000060030000}"/>
    <cellStyle name="Normal 5 5 2" xfId="1314" xr:uid="{00000000-0005-0000-0000-000061030000}"/>
    <cellStyle name="Normal 5 5 3" xfId="852" xr:uid="{00000000-0005-0000-0000-000062030000}"/>
    <cellStyle name="Normal 5 6" xfId="266" xr:uid="{00000000-0005-0000-0000-000063030000}"/>
    <cellStyle name="Normal 5 6 2" xfId="1334" xr:uid="{00000000-0005-0000-0000-000064030000}"/>
    <cellStyle name="Normal 5 6 3" xfId="872" xr:uid="{00000000-0005-0000-0000-000065030000}"/>
    <cellStyle name="Normal 5 7" xfId="295" xr:uid="{00000000-0005-0000-0000-000066030000}"/>
    <cellStyle name="Normal 5 7 2" xfId="1354" xr:uid="{00000000-0005-0000-0000-000067030000}"/>
    <cellStyle name="Normal 5 7 3" xfId="892" xr:uid="{00000000-0005-0000-0000-000068030000}"/>
    <cellStyle name="Normal 5 8" xfId="324" xr:uid="{00000000-0005-0000-0000-000069030000}"/>
    <cellStyle name="Normal 5 8 2" xfId="1374" xr:uid="{00000000-0005-0000-0000-00006A030000}"/>
    <cellStyle name="Normal 5 8 3" xfId="912" xr:uid="{00000000-0005-0000-0000-00006B030000}"/>
    <cellStyle name="Normal 5 9" xfId="353" xr:uid="{00000000-0005-0000-0000-00006C030000}"/>
    <cellStyle name="Normal 5 9 2" xfId="1394" xr:uid="{00000000-0005-0000-0000-00006D030000}"/>
    <cellStyle name="Normal 5 9 3" xfId="932" xr:uid="{00000000-0005-0000-0000-00006E030000}"/>
    <cellStyle name="Normal 6" xfId="42" xr:uid="{00000000-0005-0000-0000-00006F030000}"/>
    <cellStyle name="Normal 6 10" xfId="384" xr:uid="{00000000-0005-0000-0000-000070030000}"/>
    <cellStyle name="Normal 6 10 2" xfId="1416" xr:uid="{00000000-0005-0000-0000-000071030000}"/>
    <cellStyle name="Normal 6 10 3" xfId="954" xr:uid="{00000000-0005-0000-0000-000072030000}"/>
    <cellStyle name="Normal 6 11" xfId="413" xr:uid="{00000000-0005-0000-0000-000073030000}"/>
    <cellStyle name="Normal 6 11 2" xfId="1436" xr:uid="{00000000-0005-0000-0000-000074030000}"/>
    <cellStyle name="Normal 6 11 3" xfId="974" xr:uid="{00000000-0005-0000-0000-000075030000}"/>
    <cellStyle name="Normal 6 12" xfId="442" xr:uid="{00000000-0005-0000-0000-000076030000}"/>
    <cellStyle name="Normal 6 12 2" xfId="1456" xr:uid="{00000000-0005-0000-0000-000077030000}"/>
    <cellStyle name="Normal 6 12 3" xfId="994" xr:uid="{00000000-0005-0000-0000-000078030000}"/>
    <cellStyle name="Normal 6 13" xfId="471" xr:uid="{00000000-0005-0000-0000-000079030000}"/>
    <cellStyle name="Normal 6 13 2" xfId="1476" xr:uid="{00000000-0005-0000-0000-00007A030000}"/>
    <cellStyle name="Normal 6 13 3" xfId="1014" xr:uid="{00000000-0005-0000-0000-00007B030000}"/>
    <cellStyle name="Normal 6 14" xfId="500" xr:uid="{00000000-0005-0000-0000-00007C030000}"/>
    <cellStyle name="Normal 6 14 2" xfId="1496" xr:uid="{00000000-0005-0000-0000-00007D030000}"/>
    <cellStyle name="Normal 6 14 3" xfId="1034" xr:uid="{00000000-0005-0000-0000-00007E030000}"/>
    <cellStyle name="Normal 6 15" xfId="530" xr:uid="{00000000-0005-0000-0000-00007F030000}"/>
    <cellStyle name="Normal 6 15 2" xfId="1517" xr:uid="{00000000-0005-0000-0000-000080030000}"/>
    <cellStyle name="Normal 6 15 3" xfId="1055" xr:uid="{00000000-0005-0000-0000-000081030000}"/>
    <cellStyle name="Normal 6 16" xfId="560" xr:uid="{00000000-0005-0000-0000-000082030000}"/>
    <cellStyle name="Normal 6 16 2" xfId="1538" xr:uid="{00000000-0005-0000-0000-000083030000}"/>
    <cellStyle name="Normal 6 16 3" xfId="1076" xr:uid="{00000000-0005-0000-0000-000084030000}"/>
    <cellStyle name="Normal 6 17" xfId="590" xr:uid="{00000000-0005-0000-0000-000085030000}"/>
    <cellStyle name="Normal 6 17 2" xfId="1559" xr:uid="{00000000-0005-0000-0000-000086030000}"/>
    <cellStyle name="Normal 6 17 3" xfId="1097" xr:uid="{00000000-0005-0000-0000-000087030000}"/>
    <cellStyle name="Normal 6 18" xfId="620" xr:uid="{00000000-0005-0000-0000-000088030000}"/>
    <cellStyle name="Normal 6 18 2" xfId="1580" xr:uid="{00000000-0005-0000-0000-000089030000}"/>
    <cellStyle name="Normal 6 18 3" xfId="1118" xr:uid="{00000000-0005-0000-0000-00008A030000}"/>
    <cellStyle name="Normal 6 19" xfId="650" xr:uid="{00000000-0005-0000-0000-00008B030000}"/>
    <cellStyle name="Normal 6 19 2" xfId="1601" xr:uid="{00000000-0005-0000-0000-00008C030000}"/>
    <cellStyle name="Normal 6 19 3" xfId="1139" xr:uid="{00000000-0005-0000-0000-00008D030000}"/>
    <cellStyle name="Normal 6 2" xfId="148" xr:uid="{00000000-0005-0000-0000-00008E030000}"/>
    <cellStyle name="Normal 6 2 2" xfId="1254" xr:uid="{00000000-0005-0000-0000-00008F030000}"/>
    <cellStyle name="Normal 6 2 3" xfId="792" xr:uid="{00000000-0005-0000-0000-000090030000}"/>
    <cellStyle name="Normal 6 20" xfId="679" xr:uid="{00000000-0005-0000-0000-000091030000}"/>
    <cellStyle name="Normal 6 20 2" xfId="1621" xr:uid="{00000000-0005-0000-0000-000092030000}"/>
    <cellStyle name="Normal 6 20 3" xfId="1159" xr:uid="{00000000-0005-0000-0000-000093030000}"/>
    <cellStyle name="Normal 6 21" xfId="708" xr:uid="{00000000-0005-0000-0000-000094030000}"/>
    <cellStyle name="Normal 6 21 2" xfId="1641" xr:uid="{00000000-0005-0000-0000-000095030000}"/>
    <cellStyle name="Normal 6 21 3" xfId="1179" xr:uid="{00000000-0005-0000-0000-000096030000}"/>
    <cellStyle name="Normal 6 3" xfId="179" xr:uid="{00000000-0005-0000-0000-000097030000}"/>
    <cellStyle name="Normal 6 3 2" xfId="1274" xr:uid="{00000000-0005-0000-0000-000098030000}"/>
    <cellStyle name="Normal 6 3 3" xfId="812" xr:uid="{00000000-0005-0000-0000-000099030000}"/>
    <cellStyle name="Normal 6 4" xfId="209" xr:uid="{00000000-0005-0000-0000-00009A030000}"/>
    <cellStyle name="Normal 6 4 2" xfId="1295" xr:uid="{00000000-0005-0000-0000-00009B030000}"/>
    <cellStyle name="Normal 6 4 3" xfId="833" xr:uid="{00000000-0005-0000-0000-00009C030000}"/>
    <cellStyle name="Normal 6 5" xfId="238" xr:uid="{00000000-0005-0000-0000-00009D030000}"/>
    <cellStyle name="Normal 6 5 2" xfId="1315" xr:uid="{00000000-0005-0000-0000-00009E030000}"/>
    <cellStyle name="Normal 6 5 3" xfId="853" xr:uid="{00000000-0005-0000-0000-00009F030000}"/>
    <cellStyle name="Normal 6 6" xfId="267" xr:uid="{00000000-0005-0000-0000-0000A0030000}"/>
    <cellStyle name="Normal 6 6 2" xfId="1335" xr:uid="{00000000-0005-0000-0000-0000A1030000}"/>
    <cellStyle name="Normal 6 6 3" xfId="873" xr:uid="{00000000-0005-0000-0000-0000A2030000}"/>
    <cellStyle name="Normal 6 7" xfId="296" xr:uid="{00000000-0005-0000-0000-0000A3030000}"/>
    <cellStyle name="Normal 6 7 2" xfId="1355" xr:uid="{00000000-0005-0000-0000-0000A4030000}"/>
    <cellStyle name="Normal 6 7 3" xfId="893" xr:uid="{00000000-0005-0000-0000-0000A5030000}"/>
    <cellStyle name="Normal 6 8" xfId="325" xr:uid="{00000000-0005-0000-0000-0000A6030000}"/>
    <cellStyle name="Normal 6 8 2" xfId="1375" xr:uid="{00000000-0005-0000-0000-0000A7030000}"/>
    <cellStyle name="Normal 6 8 3" xfId="913" xr:uid="{00000000-0005-0000-0000-0000A8030000}"/>
    <cellStyle name="Normal 6 9" xfId="354" xr:uid="{00000000-0005-0000-0000-0000A9030000}"/>
    <cellStyle name="Normal 6 9 2" xfId="1395" xr:uid="{00000000-0005-0000-0000-0000AA030000}"/>
    <cellStyle name="Normal 6 9 3" xfId="933" xr:uid="{00000000-0005-0000-0000-0000AB030000}"/>
    <cellStyle name="Normal 7" xfId="47" xr:uid="{00000000-0005-0000-0000-0000AC030000}"/>
    <cellStyle name="Normal 7 10" xfId="385" xr:uid="{00000000-0005-0000-0000-0000AD030000}"/>
    <cellStyle name="Normal 7 10 2" xfId="1417" xr:uid="{00000000-0005-0000-0000-0000AE030000}"/>
    <cellStyle name="Normal 7 10 3" xfId="955" xr:uid="{00000000-0005-0000-0000-0000AF030000}"/>
    <cellStyle name="Normal 7 11" xfId="414" xr:uid="{00000000-0005-0000-0000-0000B0030000}"/>
    <cellStyle name="Normal 7 11 2" xfId="1437" xr:uid="{00000000-0005-0000-0000-0000B1030000}"/>
    <cellStyle name="Normal 7 11 3" xfId="975" xr:uid="{00000000-0005-0000-0000-0000B2030000}"/>
    <cellStyle name="Normal 7 12" xfId="443" xr:uid="{00000000-0005-0000-0000-0000B3030000}"/>
    <cellStyle name="Normal 7 12 2" xfId="1457" xr:uid="{00000000-0005-0000-0000-0000B4030000}"/>
    <cellStyle name="Normal 7 12 3" xfId="995" xr:uid="{00000000-0005-0000-0000-0000B5030000}"/>
    <cellStyle name="Normal 7 13" xfId="472" xr:uid="{00000000-0005-0000-0000-0000B6030000}"/>
    <cellStyle name="Normal 7 13 2" xfId="1477" xr:uid="{00000000-0005-0000-0000-0000B7030000}"/>
    <cellStyle name="Normal 7 13 3" xfId="1015" xr:uid="{00000000-0005-0000-0000-0000B8030000}"/>
    <cellStyle name="Normal 7 14" xfId="501" xr:uid="{00000000-0005-0000-0000-0000B9030000}"/>
    <cellStyle name="Normal 7 14 2" xfId="1497" xr:uid="{00000000-0005-0000-0000-0000BA030000}"/>
    <cellStyle name="Normal 7 14 3" xfId="1035" xr:uid="{00000000-0005-0000-0000-0000BB030000}"/>
    <cellStyle name="Normal 7 15" xfId="531" xr:uid="{00000000-0005-0000-0000-0000BC030000}"/>
    <cellStyle name="Normal 7 15 2" xfId="1518" xr:uid="{00000000-0005-0000-0000-0000BD030000}"/>
    <cellStyle name="Normal 7 15 3" xfId="1056" xr:uid="{00000000-0005-0000-0000-0000BE030000}"/>
    <cellStyle name="Normal 7 16" xfId="561" xr:uid="{00000000-0005-0000-0000-0000BF030000}"/>
    <cellStyle name="Normal 7 16 2" xfId="1539" xr:uid="{00000000-0005-0000-0000-0000C0030000}"/>
    <cellStyle name="Normal 7 16 3" xfId="1077" xr:uid="{00000000-0005-0000-0000-0000C1030000}"/>
    <cellStyle name="Normal 7 17" xfId="591" xr:uid="{00000000-0005-0000-0000-0000C2030000}"/>
    <cellStyle name="Normal 7 17 2" xfId="1560" xr:uid="{00000000-0005-0000-0000-0000C3030000}"/>
    <cellStyle name="Normal 7 17 3" xfId="1098" xr:uid="{00000000-0005-0000-0000-0000C4030000}"/>
    <cellStyle name="Normal 7 18" xfId="621" xr:uid="{00000000-0005-0000-0000-0000C5030000}"/>
    <cellStyle name="Normal 7 18 2" xfId="1581" xr:uid="{00000000-0005-0000-0000-0000C6030000}"/>
    <cellStyle name="Normal 7 18 3" xfId="1119" xr:uid="{00000000-0005-0000-0000-0000C7030000}"/>
    <cellStyle name="Normal 7 19" xfId="651" xr:uid="{00000000-0005-0000-0000-0000C8030000}"/>
    <cellStyle name="Normal 7 19 2" xfId="1602" xr:uid="{00000000-0005-0000-0000-0000C9030000}"/>
    <cellStyle name="Normal 7 19 3" xfId="1140" xr:uid="{00000000-0005-0000-0000-0000CA030000}"/>
    <cellStyle name="Normal 7 2" xfId="149" xr:uid="{00000000-0005-0000-0000-0000CB030000}"/>
    <cellStyle name="Normal 7 2 2" xfId="1255" xr:uid="{00000000-0005-0000-0000-0000CC030000}"/>
    <cellStyle name="Normal 7 2 3" xfId="793" xr:uid="{00000000-0005-0000-0000-0000CD030000}"/>
    <cellStyle name="Normal 7 20" xfId="680" xr:uid="{00000000-0005-0000-0000-0000CE030000}"/>
    <cellStyle name="Normal 7 20 2" xfId="1622" xr:uid="{00000000-0005-0000-0000-0000CF030000}"/>
    <cellStyle name="Normal 7 20 3" xfId="1160" xr:uid="{00000000-0005-0000-0000-0000D0030000}"/>
    <cellStyle name="Normal 7 21" xfId="709" xr:uid="{00000000-0005-0000-0000-0000D1030000}"/>
    <cellStyle name="Normal 7 21 2" xfId="1642" xr:uid="{00000000-0005-0000-0000-0000D2030000}"/>
    <cellStyle name="Normal 7 21 3" xfId="1180" xr:uid="{00000000-0005-0000-0000-0000D3030000}"/>
    <cellStyle name="Normal 7 3" xfId="180" xr:uid="{00000000-0005-0000-0000-0000D4030000}"/>
    <cellStyle name="Normal 7 3 2" xfId="1275" xr:uid="{00000000-0005-0000-0000-0000D5030000}"/>
    <cellStyle name="Normal 7 3 3" xfId="813" xr:uid="{00000000-0005-0000-0000-0000D6030000}"/>
    <cellStyle name="Normal 7 4" xfId="210" xr:uid="{00000000-0005-0000-0000-0000D7030000}"/>
    <cellStyle name="Normal 7 4 2" xfId="1296" xr:uid="{00000000-0005-0000-0000-0000D8030000}"/>
    <cellStyle name="Normal 7 4 3" xfId="834" xr:uid="{00000000-0005-0000-0000-0000D9030000}"/>
    <cellStyle name="Normal 7 5" xfId="239" xr:uid="{00000000-0005-0000-0000-0000DA030000}"/>
    <cellStyle name="Normal 7 5 2" xfId="1316" xr:uid="{00000000-0005-0000-0000-0000DB030000}"/>
    <cellStyle name="Normal 7 5 3" xfId="854" xr:uid="{00000000-0005-0000-0000-0000DC030000}"/>
    <cellStyle name="Normal 7 6" xfId="268" xr:uid="{00000000-0005-0000-0000-0000DD030000}"/>
    <cellStyle name="Normal 7 6 2" xfId="1336" xr:uid="{00000000-0005-0000-0000-0000DE030000}"/>
    <cellStyle name="Normal 7 6 3" xfId="874" xr:uid="{00000000-0005-0000-0000-0000DF030000}"/>
    <cellStyle name="Normal 7 7" xfId="297" xr:uid="{00000000-0005-0000-0000-0000E0030000}"/>
    <cellStyle name="Normal 7 7 2" xfId="1356" xr:uid="{00000000-0005-0000-0000-0000E1030000}"/>
    <cellStyle name="Normal 7 7 3" xfId="894" xr:uid="{00000000-0005-0000-0000-0000E2030000}"/>
    <cellStyle name="Normal 7 8" xfId="326" xr:uid="{00000000-0005-0000-0000-0000E3030000}"/>
    <cellStyle name="Normal 7 8 2" xfId="1376" xr:uid="{00000000-0005-0000-0000-0000E4030000}"/>
    <cellStyle name="Normal 7 8 3" xfId="914" xr:uid="{00000000-0005-0000-0000-0000E5030000}"/>
    <cellStyle name="Normal 7 9" xfId="355" xr:uid="{00000000-0005-0000-0000-0000E6030000}"/>
    <cellStyle name="Normal 7 9 2" xfId="1396" xr:uid="{00000000-0005-0000-0000-0000E7030000}"/>
    <cellStyle name="Normal 7 9 3" xfId="934" xr:uid="{00000000-0005-0000-0000-0000E8030000}"/>
    <cellStyle name="Normal 8" xfId="48" xr:uid="{00000000-0005-0000-0000-0000E9030000}"/>
    <cellStyle name="Normal 8 10" xfId="386" xr:uid="{00000000-0005-0000-0000-0000EA030000}"/>
    <cellStyle name="Normal 8 10 2" xfId="1418" xr:uid="{00000000-0005-0000-0000-0000EB030000}"/>
    <cellStyle name="Normal 8 10 3" xfId="956" xr:uid="{00000000-0005-0000-0000-0000EC030000}"/>
    <cellStyle name="Normal 8 11" xfId="415" xr:uid="{00000000-0005-0000-0000-0000ED030000}"/>
    <cellStyle name="Normal 8 11 2" xfId="1438" xr:uid="{00000000-0005-0000-0000-0000EE030000}"/>
    <cellStyle name="Normal 8 11 3" xfId="976" xr:uid="{00000000-0005-0000-0000-0000EF030000}"/>
    <cellStyle name="Normal 8 12" xfId="444" xr:uid="{00000000-0005-0000-0000-0000F0030000}"/>
    <cellStyle name="Normal 8 12 2" xfId="1458" xr:uid="{00000000-0005-0000-0000-0000F1030000}"/>
    <cellStyle name="Normal 8 12 3" xfId="996" xr:uid="{00000000-0005-0000-0000-0000F2030000}"/>
    <cellStyle name="Normal 8 13" xfId="473" xr:uid="{00000000-0005-0000-0000-0000F3030000}"/>
    <cellStyle name="Normal 8 13 2" xfId="1478" xr:uid="{00000000-0005-0000-0000-0000F4030000}"/>
    <cellStyle name="Normal 8 13 3" xfId="1016" xr:uid="{00000000-0005-0000-0000-0000F5030000}"/>
    <cellStyle name="Normal 8 14" xfId="502" xr:uid="{00000000-0005-0000-0000-0000F6030000}"/>
    <cellStyle name="Normal 8 14 2" xfId="1498" xr:uid="{00000000-0005-0000-0000-0000F7030000}"/>
    <cellStyle name="Normal 8 14 3" xfId="1036" xr:uid="{00000000-0005-0000-0000-0000F8030000}"/>
    <cellStyle name="Normal 8 15" xfId="532" xr:uid="{00000000-0005-0000-0000-0000F9030000}"/>
    <cellStyle name="Normal 8 15 2" xfId="1519" xr:uid="{00000000-0005-0000-0000-0000FA030000}"/>
    <cellStyle name="Normal 8 15 3" xfId="1057" xr:uid="{00000000-0005-0000-0000-0000FB030000}"/>
    <cellStyle name="Normal 8 16" xfId="562" xr:uid="{00000000-0005-0000-0000-0000FC030000}"/>
    <cellStyle name="Normal 8 16 2" xfId="1540" xr:uid="{00000000-0005-0000-0000-0000FD030000}"/>
    <cellStyle name="Normal 8 16 3" xfId="1078" xr:uid="{00000000-0005-0000-0000-0000FE030000}"/>
    <cellStyle name="Normal 8 17" xfId="592" xr:uid="{00000000-0005-0000-0000-0000FF030000}"/>
    <cellStyle name="Normal 8 17 2" xfId="1561" xr:uid="{00000000-0005-0000-0000-000000040000}"/>
    <cellStyle name="Normal 8 17 3" xfId="1099" xr:uid="{00000000-0005-0000-0000-000001040000}"/>
    <cellStyle name="Normal 8 18" xfId="622" xr:uid="{00000000-0005-0000-0000-000002040000}"/>
    <cellStyle name="Normal 8 18 2" xfId="1582" xr:uid="{00000000-0005-0000-0000-000003040000}"/>
    <cellStyle name="Normal 8 18 3" xfId="1120" xr:uid="{00000000-0005-0000-0000-000004040000}"/>
    <cellStyle name="Normal 8 19" xfId="652" xr:uid="{00000000-0005-0000-0000-000005040000}"/>
    <cellStyle name="Normal 8 19 2" xfId="1603" xr:uid="{00000000-0005-0000-0000-000006040000}"/>
    <cellStyle name="Normal 8 19 3" xfId="1141" xr:uid="{00000000-0005-0000-0000-000007040000}"/>
    <cellStyle name="Normal 8 2" xfId="150" xr:uid="{00000000-0005-0000-0000-000008040000}"/>
    <cellStyle name="Normal 8 2 2" xfId="1256" xr:uid="{00000000-0005-0000-0000-000009040000}"/>
    <cellStyle name="Normal 8 2 3" xfId="794" xr:uid="{00000000-0005-0000-0000-00000A040000}"/>
    <cellStyle name="Normal 8 20" xfId="681" xr:uid="{00000000-0005-0000-0000-00000B040000}"/>
    <cellStyle name="Normal 8 20 2" xfId="1623" xr:uid="{00000000-0005-0000-0000-00000C040000}"/>
    <cellStyle name="Normal 8 20 3" xfId="1161" xr:uid="{00000000-0005-0000-0000-00000D040000}"/>
    <cellStyle name="Normal 8 21" xfId="710" xr:uid="{00000000-0005-0000-0000-00000E040000}"/>
    <cellStyle name="Normal 8 21 2" xfId="1643" xr:uid="{00000000-0005-0000-0000-00000F040000}"/>
    <cellStyle name="Normal 8 21 3" xfId="1181" xr:uid="{00000000-0005-0000-0000-000010040000}"/>
    <cellStyle name="Normal 8 3" xfId="181" xr:uid="{00000000-0005-0000-0000-000011040000}"/>
    <cellStyle name="Normal 8 3 2" xfId="1276" xr:uid="{00000000-0005-0000-0000-000012040000}"/>
    <cellStyle name="Normal 8 3 3" xfId="814" xr:uid="{00000000-0005-0000-0000-000013040000}"/>
    <cellStyle name="Normal 8 4" xfId="211" xr:uid="{00000000-0005-0000-0000-000014040000}"/>
    <cellStyle name="Normal 8 4 2" xfId="1297" xr:uid="{00000000-0005-0000-0000-000015040000}"/>
    <cellStyle name="Normal 8 4 3" xfId="835" xr:uid="{00000000-0005-0000-0000-000016040000}"/>
    <cellStyle name="Normal 8 5" xfId="240" xr:uid="{00000000-0005-0000-0000-000017040000}"/>
    <cellStyle name="Normal 8 5 2" xfId="1317" xr:uid="{00000000-0005-0000-0000-000018040000}"/>
    <cellStyle name="Normal 8 5 3" xfId="855" xr:uid="{00000000-0005-0000-0000-000019040000}"/>
    <cellStyle name="Normal 8 6" xfId="269" xr:uid="{00000000-0005-0000-0000-00001A040000}"/>
    <cellStyle name="Normal 8 6 2" xfId="1337" xr:uid="{00000000-0005-0000-0000-00001B040000}"/>
    <cellStyle name="Normal 8 6 3" xfId="875" xr:uid="{00000000-0005-0000-0000-00001C040000}"/>
    <cellStyle name="Normal 8 7" xfId="298" xr:uid="{00000000-0005-0000-0000-00001D040000}"/>
    <cellStyle name="Normal 8 7 2" xfId="1357" xr:uid="{00000000-0005-0000-0000-00001E040000}"/>
    <cellStyle name="Normal 8 7 3" xfId="895" xr:uid="{00000000-0005-0000-0000-00001F040000}"/>
    <cellStyle name="Normal 8 8" xfId="327" xr:uid="{00000000-0005-0000-0000-000020040000}"/>
    <cellStyle name="Normal 8 8 2" xfId="1377" xr:uid="{00000000-0005-0000-0000-000021040000}"/>
    <cellStyle name="Normal 8 8 3" xfId="915" xr:uid="{00000000-0005-0000-0000-000022040000}"/>
    <cellStyle name="Normal 8 9" xfId="356" xr:uid="{00000000-0005-0000-0000-000023040000}"/>
    <cellStyle name="Normal 8 9 2" xfId="1397" xr:uid="{00000000-0005-0000-0000-000024040000}"/>
    <cellStyle name="Normal 8 9 3" xfId="935" xr:uid="{00000000-0005-0000-0000-000025040000}"/>
    <cellStyle name="Normal 9" xfId="49" xr:uid="{00000000-0005-0000-0000-000026040000}"/>
    <cellStyle name="Normal 9 10" xfId="387" xr:uid="{00000000-0005-0000-0000-000027040000}"/>
    <cellStyle name="Normal 9 10 2" xfId="1419" xr:uid="{00000000-0005-0000-0000-000028040000}"/>
    <cellStyle name="Normal 9 10 3" xfId="957" xr:uid="{00000000-0005-0000-0000-000029040000}"/>
    <cellStyle name="Normal 9 11" xfId="416" xr:uid="{00000000-0005-0000-0000-00002A040000}"/>
    <cellStyle name="Normal 9 11 2" xfId="1439" xr:uid="{00000000-0005-0000-0000-00002B040000}"/>
    <cellStyle name="Normal 9 11 3" xfId="977" xr:uid="{00000000-0005-0000-0000-00002C040000}"/>
    <cellStyle name="Normal 9 12" xfId="445" xr:uid="{00000000-0005-0000-0000-00002D040000}"/>
    <cellStyle name="Normal 9 12 2" xfId="1459" xr:uid="{00000000-0005-0000-0000-00002E040000}"/>
    <cellStyle name="Normal 9 12 3" xfId="997" xr:uid="{00000000-0005-0000-0000-00002F040000}"/>
    <cellStyle name="Normal 9 13" xfId="474" xr:uid="{00000000-0005-0000-0000-000030040000}"/>
    <cellStyle name="Normal 9 13 2" xfId="1479" xr:uid="{00000000-0005-0000-0000-000031040000}"/>
    <cellStyle name="Normal 9 13 3" xfId="1017" xr:uid="{00000000-0005-0000-0000-000032040000}"/>
    <cellStyle name="Normal 9 14" xfId="503" xr:uid="{00000000-0005-0000-0000-000033040000}"/>
    <cellStyle name="Normal 9 14 2" xfId="1499" xr:uid="{00000000-0005-0000-0000-000034040000}"/>
    <cellStyle name="Normal 9 14 3" xfId="1037" xr:uid="{00000000-0005-0000-0000-000035040000}"/>
    <cellStyle name="Normal 9 15" xfId="533" xr:uid="{00000000-0005-0000-0000-000036040000}"/>
    <cellStyle name="Normal 9 15 2" xfId="1520" xr:uid="{00000000-0005-0000-0000-000037040000}"/>
    <cellStyle name="Normal 9 15 3" xfId="1058" xr:uid="{00000000-0005-0000-0000-000038040000}"/>
    <cellStyle name="Normal 9 16" xfId="563" xr:uid="{00000000-0005-0000-0000-000039040000}"/>
    <cellStyle name="Normal 9 16 2" xfId="1541" xr:uid="{00000000-0005-0000-0000-00003A040000}"/>
    <cellStyle name="Normal 9 16 3" xfId="1079" xr:uid="{00000000-0005-0000-0000-00003B040000}"/>
    <cellStyle name="Normal 9 17" xfId="593" xr:uid="{00000000-0005-0000-0000-00003C040000}"/>
    <cellStyle name="Normal 9 17 2" xfId="1562" xr:uid="{00000000-0005-0000-0000-00003D040000}"/>
    <cellStyle name="Normal 9 17 3" xfId="1100" xr:uid="{00000000-0005-0000-0000-00003E040000}"/>
    <cellStyle name="Normal 9 18" xfId="623" xr:uid="{00000000-0005-0000-0000-00003F040000}"/>
    <cellStyle name="Normal 9 18 2" xfId="1583" xr:uid="{00000000-0005-0000-0000-000040040000}"/>
    <cellStyle name="Normal 9 18 3" xfId="1121" xr:uid="{00000000-0005-0000-0000-000041040000}"/>
    <cellStyle name="Normal 9 19" xfId="653" xr:uid="{00000000-0005-0000-0000-000042040000}"/>
    <cellStyle name="Normal 9 19 2" xfId="1604" xr:uid="{00000000-0005-0000-0000-000043040000}"/>
    <cellStyle name="Normal 9 19 3" xfId="1142" xr:uid="{00000000-0005-0000-0000-000044040000}"/>
    <cellStyle name="Normal 9 2" xfId="151" xr:uid="{00000000-0005-0000-0000-000045040000}"/>
    <cellStyle name="Normal 9 2 2" xfId="1257" xr:uid="{00000000-0005-0000-0000-000046040000}"/>
    <cellStyle name="Normal 9 2 3" xfId="795" xr:uid="{00000000-0005-0000-0000-000047040000}"/>
    <cellStyle name="Normal 9 20" xfId="682" xr:uid="{00000000-0005-0000-0000-000048040000}"/>
    <cellStyle name="Normal 9 20 2" xfId="1624" xr:uid="{00000000-0005-0000-0000-000049040000}"/>
    <cellStyle name="Normal 9 20 3" xfId="1162" xr:uid="{00000000-0005-0000-0000-00004A040000}"/>
    <cellStyle name="Normal 9 21" xfId="711" xr:uid="{00000000-0005-0000-0000-00004B040000}"/>
    <cellStyle name="Normal 9 21 2" xfId="1644" xr:uid="{00000000-0005-0000-0000-00004C040000}"/>
    <cellStyle name="Normal 9 21 3" xfId="1182" xr:uid="{00000000-0005-0000-0000-00004D040000}"/>
    <cellStyle name="Normal 9 3" xfId="182" xr:uid="{00000000-0005-0000-0000-00004E040000}"/>
    <cellStyle name="Normal 9 3 2" xfId="1277" xr:uid="{00000000-0005-0000-0000-00004F040000}"/>
    <cellStyle name="Normal 9 3 3" xfId="815" xr:uid="{00000000-0005-0000-0000-000050040000}"/>
    <cellStyle name="Normal 9 4" xfId="212" xr:uid="{00000000-0005-0000-0000-000051040000}"/>
    <cellStyle name="Normal 9 4 2" xfId="1298" xr:uid="{00000000-0005-0000-0000-000052040000}"/>
    <cellStyle name="Normal 9 4 3" xfId="836" xr:uid="{00000000-0005-0000-0000-000053040000}"/>
    <cellStyle name="Normal 9 5" xfId="241" xr:uid="{00000000-0005-0000-0000-000054040000}"/>
    <cellStyle name="Normal 9 5 2" xfId="1318" xr:uid="{00000000-0005-0000-0000-000055040000}"/>
    <cellStyle name="Normal 9 5 3" xfId="856" xr:uid="{00000000-0005-0000-0000-000056040000}"/>
    <cellStyle name="Normal 9 6" xfId="270" xr:uid="{00000000-0005-0000-0000-000057040000}"/>
    <cellStyle name="Normal 9 6 2" xfId="1338" xr:uid="{00000000-0005-0000-0000-000058040000}"/>
    <cellStyle name="Normal 9 6 3" xfId="876" xr:uid="{00000000-0005-0000-0000-000059040000}"/>
    <cellStyle name="Normal 9 7" xfId="299" xr:uid="{00000000-0005-0000-0000-00005A040000}"/>
    <cellStyle name="Normal 9 7 2" xfId="1358" xr:uid="{00000000-0005-0000-0000-00005B040000}"/>
    <cellStyle name="Normal 9 7 3" xfId="896" xr:uid="{00000000-0005-0000-0000-00005C040000}"/>
    <cellStyle name="Normal 9 8" xfId="328" xr:uid="{00000000-0005-0000-0000-00005D040000}"/>
    <cellStyle name="Normal 9 8 2" xfId="1378" xr:uid="{00000000-0005-0000-0000-00005E040000}"/>
    <cellStyle name="Normal 9 8 3" xfId="916" xr:uid="{00000000-0005-0000-0000-00005F040000}"/>
    <cellStyle name="Normal 9 9" xfId="357" xr:uid="{00000000-0005-0000-0000-000060040000}"/>
    <cellStyle name="Normal 9 9 2" xfId="1398" xr:uid="{00000000-0005-0000-0000-000061040000}"/>
    <cellStyle name="Normal 9 9 3" xfId="936" xr:uid="{00000000-0005-0000-0000-000062040000}"/>
    <cellStyle name="Normal_2008 IERCo Exhibits" xfId="1654" xr:uid="{4790A396-01AE-4FC5-AEB4-9EF12D14ED87}"/>
    <cellStyle name="Normal_2008 IERCo Exhibits 2" xfId="1655" xr:uid="{C7D91693-CC4E-453E-BAB6-B587AC552DF4}"/>
    <cellStyle name="Normal_Taxes Other_KBasye" xfId="3" xr:uid="{00000000-0005-0000-0000-000066040000}"/>
    <cellStyle name="Percent" xfId="4" builtinId="5"/>
    <cellStyle name="Percent 2" xfId="1661" xr:uid="{5D4B612C-109F-4C2D-B31F-850544034085}"/>
    <cellStyle name="PSChar" xfId="5" xr:uid="{00000000-0005-0000-0000-000068040000}"/>
    <cellStyle name="PSChar 10" xfId="257" xr:uid="{00000000-0005-0000-0000-000069040000}"/>
    <cellStyle name="PSChar 10 2" xfId="1328" xr:uid="{00000000-0005-0000-0000-00006A040000}"/>
    <cellStyle name="PSChar 10 3" xfId="866" xr:uid="{00000000-0005-0000-0000-00006B040000}"/>
    <cellStyle name="PSChar 11" xfId="286" xr:uid="{00000000-0005-0000-0000-00006C040000}"/>
    <cellStyle name="PSChar 11 2" xfId="1348" xr:uid="{00000000-0005-0000-0000-00006D040000}"/>
    <cellStyle name="PSChar 11 3" xfId="886" xr:uid="{00000000-0005-0000-0000-00006E040000}"/>
    <cellStyle name="PSChar 12" xfId="315" xr:uid="{00000000-0005-0000-0000-00006F040000}"/>
    <cellStyle name="PSChar 12 2" xfId="1368" xr:uid="{00000000-0005-0000-0000-000070040000}"/>
    <cellStyle name="PSChar 12 3" xfId="906" xr:uid="{00000000-0005-0000-0000-000071040000}"/>
    <cellStyle name="PSChar 13" xfId="344" xr:uid="{00000000-0005-0000-0000-000072040000}"/>
    <cellStyle name="PSChar 13 2" xfId="1388" xr:uid="{00000000-0005-0000-0000-000073040000}"/>
    <cellStyle name="PSChar 13 3" xfId="926" xr:uid="{00000000-0005-0000-0000-000074040000}"/>
    <cellStyle name="PSChar 14" xfId="373" xr:uid="{00000000-0005-0000-0000-000075040000}"/>
    <cellStyle name="PSChar 14 2" xfId="1408" xr:uid="{00000000-0005-0000-0000-000076040000}"/>
    <cellStyle name="PSChar 14 3" xfId="946" xr:uid="{00000000-0005-0000-0000-000077040000}"/>
    <cellStyle name="PSChar 15" xfId="403" xr:uid="{00000000-0005-0000-0000-000078040000}"/>
    <cellStyle name="PSChar 15 2" xfId="1429" xr:uid="{00000000-0005-0000-0000-000079040000}"/>
    <cellStyle name="PSChar 15 3" xfId="967" xr:uid="{00000000-0005-0000-0000-00007A040000}"/>
    <cellStyle name="PSChar 16" xfId="432" xr:uid="{00000000-0005-0000-0000-00007B040000}"/>
    <cellStyle name="PSChar 16 2" xfId="1449" xr:uid="{00000000-0005-0000-0000-00007C040000}"/>
    <cellStyle name="PSChar 16 3" xfId="987" xr:uid="{00000000-0005-0000-0000-00007D040000}"/>
    <cellStyle name="PSChar 17" xfId="461" xr:uid="{00000000-0005-0000-0000-00007E040000}"/>
    <cellStyle name="PSChar 17 2" xfId="1469" xr:uid="{00000000-0005-0000-0000-00007F040000}"/>
    <cellStyle name="PSChar 17 3" xfId="1007" xr:uid="{00000000-0005-0000-0000-000080040000}"/>
    <cellStyle name="PSChar 18" xfId="490" xr:uid="{00000000-0005-0000-0000-000081040000}"/>
    <cellStyle name="PSChar 18 2" xfId="1489" xr:uid="{00000000-0005-0000-0000-000082040000}"/>
    <cellStyle name="PSChar 18 3" xfId="1027" xr:uid="{00000000-0005-0000-0000-000083040000}"/>
    <cellStyle name="PSChar 19" xfId="519" xr:uid="{00000000-0005-0000-0000-000084040000}"/>
    <cellStyle name="PSChar 19 2" xfId="1509" xr:uid="{00000000-0005-0000-0000-000085040000}"/>
    <cellStyle name="PSChar 19 3" xfId="1047" xr:uid="{00000000-0005-0000-0000-000086040000}"/>
    <cellStyle name="PSChar 2" xfId="18" xr:uid="{00000000-0005-0000-0000-000087040000}"/>
    <cellStyle name="PSChar 2 10" xfId="397" xr:uid="{00000000-0005-0000-0000-000088040000}"/>
    <cellStyle name="PSChar 2 11" xfId="426" xr:uid="{00000000-0005-0000-0000-000089040000}"/>
    <cellStyle name="PSChar 2 12" xfId="455" xr:uid="{00000000-0005-0000-0000-00008A040000}"/>
    <cellStyle name="PSChar 2 13" xfId="484" xr:uid="{00000000-0005-0000-0000-00008B040000}"/>
    <cellStyle name="PSChar 2 14" xfId="513" xr:uid="{00000000-0005-0000-0000-00008C040000}"/>
    <cellStyle name="PSChar 2 15" xfId="543" xr:uid="{00000000-0005-0000-0000-00008D040000}"/>
    <cellStyle name="PSChar 2 16" xfId="573" xr:uid="{00000000-0005-0000-0000-00008E040000}"/>
    <cellStyle name="PSChar 2 17" xfId="603" xr:uid="{00000000-0005-0000-0000-00008F040000}"/>
    <cellStyle name="PSChar 2 18" xfId="633" xr:uid="{00000000-0005-0000-0000-000090040000}"/>
    <cellStyle name="PSChar 2 19" xfId="663" xr:uid="{00000000-0005-0000-0000-000091040000}"/>
    <cellStyle name="PSChar 2 2" xfId="162" xr:uid="{00000000-0005-0000-0000-000092040000}"/>
    <cellStyle name="PSChar 2 20" xfId="691" xr:uid="{00000000-0005-0000-0000-000093040000}"/>
    <cellStyle name="PSChar 2 21" xfId="720" xr:uid="{00000000-0005-0000-0000-000094040000}"/>
    <cellStyle name="PSChar 2 3" xfId="191" xr:uid="{00000000-0005-0000-0000-000095040000}"/>
    <cellStyle name="PSChar 2 4" xfId="222" xr:uid="{00000000-0005-0000-0000-000096040000}"/>
    <cellStyle name="PSChar 2 5" xfId="251" xr:uid="{00000000-0005-0000-0000-000097040000}"/>
    <cellStyle name="PSChar 2 6" xfId="280" xr:uid="{00000000-0005-0000-0000-000098040000}"/>
    <cellStyle name="PSChar 2 7" xfId="309" xr:uid="{00000000-0005-0000-0000-000099040000}"/>
    <cellStyle name="PSChar 2 8" xfId="338" xr:uid="{00000000-0005-0000-0000-00009A040000}"/>
    <cellStyle name="PSChar 2 9" xfId="367" xr:uid="{00000000-0005-0000-0000-00009B040000}"/>
    <cellStyle name="PSChar 20" xfId="549" xr:uid="{00000000-0005-0000-0000-00009C040000}"/>
    <cellStyle name="PSChar 20 2" xfId="1530" xr:uid="{00000000-0005-0000-0000-00009D040000}"/>
    <cellStyle name="PSChar 20 3" xfId="1068" xr:uid="{00000000-0005-0000-0000-00009E040000}"/>
    <cellStyle name="PSChar 21" xfId="579" xr:uid="{00000000-0005-0000-0000-00009F040000}"/>
    <cellStyle name="PSChar 21 2" xfId="1551" xr:uid="{00000000-0005-0000-0000-0000A0040000}"/>
    <cellStyle name="PSChar 21 3" xfId="1089" xr:uid="{00000000-0005-0000-0000-0000A1040000}"/>
    <cellStyle name="PSChar 22" xfId="609" xr:uid="{00000000-0005-0000-0000-0000A2040000}"/>
    <cellStyle name="PSChar 22 2" xfId="1572" xr:uid="{00000000-0005-0000-0000-0000A3040000}"/>
    <cellStyle name="PSChar 22 3" xfId="1110" xr:uid="{00000000-0005-0000-0000-0000A4040000}"/>
    <cellStyle name="PSChar 23" xfId="639" xr:uid="{00000000-0005-0000-0000-0000A5040000}"/>
    <cellStyle name="PSChar 23 2" xfId="1593" xr:uid="{00000000-0005-0000-0000-0000A6040000}"/>
    <cellStyle name="PSChar 23 3" xfId="1131" xr:uid="{00000000-0005-0000-0000-0000A7040000}"/>
    <cellStyle name="PSChar 24" xfId="697" xr:uid="{00000000-0005-0000-0000-0000A8040000}"/>
    <cellStyle name="PSChar 24 2" xfId="1633" xr:uid="{00000000-0005-0000-0000-0000A9040000}"/>
    <cellStyle name="PSChar 24 3" xfId="1171" xr:uid="{00000000-0005-0000-0000-0000AA040000}"/>
    <cellStyle name="PSChar 3" xfId="28" xr:uid="{00000000-0005-0000-0000-0000AB040000}"/>
    <cellStyle name="PSChar 3 2" xfId="1194" xr:uid="{00000000-0005-0000-0000-0000AC040000}"/>
    <cellStyle name="PSChar 3 3" xfId="732" xr:uid="{00000000-0005-0000-0000-0000AD040000}"/>
    <cellStyle name="PSChar 4" xfId="34" xr:uid="{00000000-0005-0000-0000-0000AE040000}"/>
    <cellStyle name="PSChar 4 2" xfId="1200" xr:uid="{00000000-0005-0000-0000-0000AF040000}"/>
    <cellStyle name="PSChar 4 3" xfId="738" xr:uid="{00000000-0005-0000-0000-0000B0040000}"/>
    <cellStyle name="PSChar 5" xfId="137" xr:uid="{00000000-0005-0000-0000-0000B1040000}"/>
    <cellStyle name="PSChar 5 2" xfId="1246" xr:uid="{00000000-0005-0000-0000-0000B2040000}"/>
    <cellStyle name="PSChar 5 3" xfId="784" xr:uid="{00000000-0005-0000-0000-0000B3040000}"/>
    <cellStyle name="PSChar 6" xfId="168" xr:uid="{00000000-0005-0000-0000-0000B4040000}"/>
    <cellStyle name="PSChar 6 2" xfId="1266" xr:uid="{00000000-0005-0000-0000-0000B5040000}"/>
    <cellStyle name="PSChar 6 3" xfId="804" xr:uid="{00000000-0005-0000-0000-0000B6040000}"/>
    <cellStyle name="PSChar 7" xfId="198" xr:uid="{00000000-0005-0000-0000-0000B7040000}"/>
    <cellStyle name="PSChar 7 2" xfId="1287" xr:uid="{00000000-0005-0000-0000-0000B8040000}"/>
    <cellStyle name="PSChar 7 3" xfId="825" xr:uid="{00000000-0005-0000-0000-0000B9040000}"/>
    <cellStyle name="PSChar 8" xfId="197" xr:uid="{00000000-0005-0000-0000-0000BA040000}"/>
    <cellStyle name="PSChar 8 2" xfId="1286" xr:uid="{00000000-0005-0000-0000-0000BB040000}"/>
    <cellStyle name="PSChar 8 3" xfId="824" xr:uid="{00000000-0005-0000-0000-0000BC040000}"/>
    <cellStyle name="PSChar 9" xfId="228" xr:uid="{00000000-0005-0000-0000-0000BD040000}"/>
    <cellStyle name="PSChar 9 2" xfId="1308" xr:uid="{00000000-0005-0000-0000-0000BE040000}"/>
    <cellStyle name="PSChar 9 3" xfId="846" xr:uid="{00000000-0005-0000-0000-0000BF040000}"/>
    <cellStyle name="PSDate" xfId="6" xr:uid="{00000000-0005-0000-0000-0000C0040000}"/>
    <cellStyle name="PSDate 10" xfId="279" xr:uid="{00000000-0005-0000-0000-0000C1040000}"/>
    <cellStyle name="PSDate 10 2" xfId="1347" xr:uid="{00000000-0005-0000-0000-0000C2040000}"/>
    <cellStyle name="PSDate 10 3" xfId="885" xr:uid="{00000000-0005-0000-0000-0000C3040000}"/>
    <cellStyle name="PSDate 11" xfId="308" xr:uid="{00000000-0005-0000-0000-0000C4040000}"/>
    <cellStyle name="PSDate 11 2" xfId="1367" xr:uid="{00000000-0005-0000-0000-0000C5040000}"/>
    <cellStyle name="PSDate 11 3" xfId="905" xr:uid="{00000000-0005-0000-0000-0000C6040000}"/>
    <cellStyle name="PSDate 12" xfId="337" xr:uid="{00000000-0005-0000-0000-0000C7040000}"/>
    <cellStyle name="PSDate 12 2" xfId="1387" xr:uid="{00000000-0005-0000-0000-0000C8040000}"/>
    <cellStyle name="PSDate 12 3" xfId="925" xr:uid="{00000000-0005-0000-0000-0000C9040000}"/>
    <cellStyle name="PSDate 13" xfId="366" xr:uid="{00000000-0005-0000-0000-0000CA040000}"/>
    <cellStyle name="PSDate 13 2" xfId="1407" xr:uid="{00000000-0005-0000-0000-0000CB040000}"/>
    <cellStyle name="PSDate 13 3" xfId="945" xr:uid="{00000000-0005-0000-0000-0000CC040000}"/>
    <cellStyle name="PSDate 14" xfId="396" xr:uid="{00000000-0005-0000-0000-0000CD040000}"/>
    <cellStyle name="PSDate 14 2" xfId="1428" xr:uid="{00000000-0005-0000-0000-0000CE040000}"/>
    <cellStyle name="PSDate 14 3" xfId="966" xr:uid="{00000000-0005-0000-0000-0000CF040000}"/>
    <cellStyle name="PSDate 15" xfId="425" xr:uid="{00000000-0005-0000-0000-0000D0040000}"/>
    <cellStyle name="PSDate 15 2" xfId="1448" xr:uid="{00000000-0005-0000-0000-0000D1040000}"/>
    <cellStyle name="PSDate 15 3" xfId="986" xr:uid="{00000000-0005-0000-0000-0000D2040000}"/>
    <cellStyle name="PSDate 16" xfId="454" xr:uid="{00000000-0005-0000-0000-0000D3040000}"/>
    <cellStyle name="PSDate 16 2" xfId="1468" xr:uid="{00000000-0005-0000-0000-0000D4040000}"/>
    <cellStyle name="PSDate 16 3" xfId="1006" xr:uid="{00000000-0005-0000-0000-0000D5040000}"/>
    <cellStyle name="PSDate 17" xfId="483" xr:uid="{00000000-0005-0000-0000-0000D6040000}"/>
    <cellStyle name="PSDate 17 2" xfId="1488" xr:uid="{00000000-0005-0000-0000-0000D7040000}"/>
    <cellStyle name="PSDate 17 3" xfId="1026" xr:uid="{00000000-0005-0000-0000-0000D8040000}"/>
    <cellStyle name="PSDate 18" xfId="512" xr:uid="{00000000-0005-0000-0000-0000D9040000}"/>
    <cellStyle name="PSDate 18 2" xfId="1508" xr:uid="{00000000-0005-0000-0000-0000DA040000}"/>
    <cellStyle name="PSDate 18 3" xfId="1046" xr:uid="{00000000-0005-0000-0000-0000DB040000}"/>
    <cellStyle name="PSDate 19" xfId="542" xr:uid="{00000000-0005-0000-0000-0000DC040000}"/>
    <cellStyle name="PSDate 19 2" xfId="1529" xr:uid="{00000000-0005-0000-0000-0000DD040000}"/>
    <cellStyle name="PSDate 19 3" xfId="1067" xr:uid="{00000000-0005-0000-0000-0000DE040000}"/>
    <cellStyle name="PSDate 2" xfId="19" xr:uid="{00000000-0005-0000-0000-0000DF040000}"/>
    <cellStyle name="PSDate 2 10" xfId="398" xr:uid="{00000000-0005-0000-0000-0000E0040000}"/>
    <cellStyle name="PSDate 2 11" xfId="427" xr:uid="{00000000-0005-0000-0000-0000E1040000}"/>
    <cellStyle name="PSDate 2 12" xfId="456" xr:uid="{00000000-0005-0000-0000-0000E2040000}"/>
    <cellStyle name="PSDate 2 13" xfId="485" xr:uid="{00000000-0005-0000-0000-0000E3040000}"/>
    <cellStyle name="PSDate 2 14" xfId="514" xr:uid="{00000000-0005-0000-0000-0000E4040000}"/>
    <cellStyle name="PSDate 2 15" xfId="544" xr:uid="{00000000-0005-0000-0000-0000E5040000}"/>
    <cellStyle name="PSDate 2 16" xfId="574" xr:uid="{00000000-0005-0000-0000-0000E6040000}"/>
    <cellStyle name="PSDate 2 17" xfId="604" xr:uid="{00000000-0005-0000-0000-0000E7040000}"/>
    <cellStyle name="PSDate 2 18" xfId="634" xr:uid="{00000000-0005-0000-0000-0000E8040000}"/>
    <cellStyle name="PSDate 2 19" xfId="664" xr:uid="{00000000-0005-0000-0000-0000E9040000}"/>
    <cellStyle name="PSDate 2 2" xfId="163" xr:uid="{00000000-0005-0000-0000-0000EA040000}"/>
    <cellStyle name="PSDate 2 20" xfId="692" xr:uid="{00000000-0005-0000-0000-0000EB040000}"/>
    <cellStyle name="PSDate 2 21" xfId="721" xr:uid="{00000000-0005-0000-0000-0000EC040000}"/>
    <cellStyle name="PSDate 2 3" xfId="192" xr:uid="{00000000-0005-0000-0000-0000ED040000}"/>
    <cellStyle name="PSDate 2 4" xfId="223" xr:uid="{00000000-0005-0000-0000-0000EE040000}"/>
    <cellStyle name="PSDate 2 5" xfId="252" xr:uid="{00000000-0005-0000-0000-0000EF040000}"/>
    <cellStyle name="PSDate 2 6" xfId="281" xr:uid="{00000000-0005-0000-0000-0000F0040000}"/>
    <cellStyle name="PSDate 2 7" xfId="310" xr:uid="{00000000-0005-0000-0000-0000F1040000}"/>
    <cellStyle name="PSDate 2 8" xfId="339" xr:uid="{00000000-0005-0000-0000-0000F2040000}"/>
    <cellStyle name="PSDate 2 9" xfId="368" xr:uid="{00000000-0005-0000-0000-0000F3040000}"/>
    <cellStyle name="PSDate 20" xfId="572" xr:uid="{00000000-0005-0000-0000-0000F4040000}"/>
    <cellStyle name="PSDate 20 2" xfId="1550" xr:uid="{00000000-0005-0000-0000-0000F5040000}"/>
    <cellStyle name="PSDate 20 3" xfId="1088" xr:uid="{00000000-0005-0000-0000-0000F6040000}"/>
    <cellStyle name="PSDate 21" xfId="602" xr:uid="{00000000-0005-0000-0000-0000F7040000}"/>
    <cellStyle name="PSDate 21 2" xfId="1571" xr:uid="{00000000-0005-0000-0000-0000F8040000}"/>
    <cellStyle name="PSDate 21 3" xfId="1109" xr:uid="{00000000-0005-0000-0000-0000F9040000}"/>
    <cellStyle name="PSDate 22" xfId="632" xr:uid="{00000000-0005-0000-0000-0000FA040000}"/>
    <cellStyle name="PSDate 22 2" xfId="1592" xr:uid="{00000000-0005-0000-0000-0000FB040000}"/>
    <cellStyle name="PSDate 22 3" xfId="1130" xr:uid="{00000000-0005-0000-0000-0000FC040000}"/>
    <cellStyle name="PSDate 23" xfId="662" xr:uid="{00000000-0005-0000-0000-0000FD040000}"/>
    <cellStyle name="PSDate 23 2" xfId="1613" xr:uid="{00000000-0005-0000-0000-0000FE040000}"/>
    <cellStyle name="PSDate 23 3" xfId="1151" xr:uid="{00000000-0005-0000-0000-0000FF040000}"/>
    <cellStyle name="PSDate 24" xfId="698" xr:uid="{00000000-0005-0000-0000-000000050000}"/>
    <cellStyle name="PSDate 24 2" xfId="1634" xr:uid="{00000000-0005-0000-0000-000001050000}"/>
    <cellStyle name="PSDate 24 3" xfId="1172" xr:uid="{00000000-0005-0000-0000-000002050000}"/>
    <cellStyle name="PSDate 3" xfId="29" xr:uid="{00000000-0005-0000-0000-000003050000}"/>
    <cellStyle name="PSDate 3 2" xfId="1195" xr:uid="{00000000-0005-0000-0000-000004050000}"/>
    <cellStyle name="PSDate 3 3" xfId="733" xr:uid="{00000000-0005-0000-0000-000005050000}"/>
    <cellStyle name="PSDate 4" xfId="35" xr:uid="{00000000-0005-0000-0000-000006050000}"/>
    <cellStyle name="PSDate 4 2" xfId="1201" xr:uid="{00000000-0005-0000-0000-000007050000}"/>
    <cellStyle name="PSDate 4 3" xfId="739" xr:uid="{00000000-0005-0000-0000-000008050000}"/>
    <cellStyle name="PSDate 5" xfId="138" xr:uid="{00000000-0005-0000-0000-000009050000}"/>
    <cellStyle name="PSDate 5 2" xfId="1247" xr:uid="{00000000-0005-0000-0000-00000A050000}"/>
    <cellStyle name="PSDate 5 3" xfId="785" xr:uid="{00000000-0005-0000-0000-00000B050000}"/>
    <cellStyle name="PSDate 6" xfId="169" xr:uid="{00000000-0005-0000-0000-00000C050000}"/>
    <cellStyle name="PSDate 6 2" xfId="1267" xr:uid="{00000000-0005-0000-0000-00000D050000}"/>
    <cellStyle name="PSDate 6 3" xfId="805" xr:uid="{00000000-0005-0000-0000-00000E050000}"/>
    <cellStyle name="PSDate 7" xfId="199" xr:uid="{00000000-0005-0000-0000-00000F050000}"/>
    <cellStyle name="PSDate 7 2" xfId="1288" xr:uid="{00000000-0005-0000-0000-000010050000}"/>
    <cellStyle name="PSDate 7 3" xfId="826" xr:uid="{00000000-0005-0000-0000-000011050000}"/>
    <cellStyle name="PSDate 8" xfId="221" xr:uid="{00000000-0005-0000-0000-000012050000}"/>
    <cellStyle name="PSDate 8 2" xfId="1307" xr:uid="{00000000-0005-0000-0000-000013050000}"/>
    <cellStyle name="PSDate 8 3" xfId="845" xr:uid="{00000000-0005-0000-0000-000014050000}"/>
    <cellStyle name="PSDate 9" xfId="250" xr:uid="{00000000-0005-0000-0000-000015050000}"/>
    <cellStyle name="PSDate 9 2" xfId="1327" xr:uid="{00000000-0005-0000-0000-000016050000}"/>
    <cellStyle name="PSDate 9 3" xfId="865" xr:uid="{00000000-0005-0000-0000-000017050000}"/>
    <cellStyle name="PSDec" xfId="7" xr:uid="{00000000-0005-0000-0000-000018050000}"/>
    <cellStyle name="PSDec 10" xfId="287" xr:uid="{00000000-0005-0000-0000-000019050000}"/>
    <cellStyle name="PSDec 10 2" xfId="1349" xr:uid="{00000000-0005-0000-0000-00001A050000}"/>
    <cellStyle name="PSDec 10 3" xfId="887" xr:uid="{00000000-0005-0000-0000-00001B050000}"/>
    <cellStyle name="PSDec 11" xfId="316" xr:uid="{00000000-0005-0000-0000-00001C050000}"/>
    <cellStyle name="PSDec 11 2" xfId="1369" xr:uid="{00000000-0005-0000-0000-00001D050000}"/>
    <cellStyle name="PSDec 11 3" xfId="907" xr:uid="{00000000-0005-0000-0000-00001E050000}"/>
    <cellStyle name="PSDec 12" xfId="345" xr:uid="{00000000-0005-0000-0000-00001F050000}"/>
    <cellStyle name="PSDec 12 2" xfId="1389" xr:uid="{00000000-0005-0000-0000-000020050000}"/>
    <cellStyle name="PSDec 12 3" xfId="927" xr:uid="{00000000-0005-0000-0000-000021050000}"/>
    <cellStyle name="PSDec 13" xfId="375" xr:uid="{00000000-0005-0000-0000-000022050000}"/>
    <cellStyle name="PSDec 13 2" xfId="1410" xr:uid="{00000000-0005-0000-0000-000023050000}"/>
    <cellStyle name="PSDec 13 3" xfId="948" xr:uid="{00000000-0005-0000-0000-000024050000}"/>
    <cellStyle name="PSDec 14" xfId="404" xr:uid="{00000000-0005-0000-0000-000025050000}"/>
    <cellStyle name="PSDec 14 2" xfId="1430" xr:uid="{00000000-0005-0000-0000-000026050000}"/>
    <cellStyle name="PSDec 14 3" xfId="968" xr:uid="{00000000-0005-0000-0000-000027050000}"/>
    <cellStyle name="PSDec 15" xfId="433" xr:uid="{00000000-0005-0000-0000-000028050000}"/>
    <cellStyle name="PSDec 15 2" xfId="1450" xr:uid="{00000000-0005-0000-0000-000029050000}"/>
    <cellStyle name="PSDec 15 3" xfId="988" xr:uid="{00000000-0005-0000-0000-00002A050000}"/>
    <cellStyle name="PSDec 16" xfId="462" xr:uid="{00000000-0005-0000-0000-00002B050000}"/>
    <cellStyle name="PSDec 16 2" xfId="1470" xr:uid="{00000000-0005-0000-0000-00002C050000}"/>
    <cellStyle name="PSDec 16 3" xfId="1008" xr:uid="{00000000-0005-0000-0000-00002D050000}"/>
    <cellStyle name="PSDec 17" xfId="491" xr:uid="{00000000-0005-0000-0000-00002E050000}"/>
    <cellStyle name="PSDec 17 2" xfId="1490" xr:uid="{00000000-0005-0000-0000-00002F050000}"/>
    <cellStyle name="PSDec 17 3" xfId="1028" xr:uid="{00000000-0005-0000-0000-000030050000}"/>
    <cellStyle name="PSDec 18" xfId="521" xr:uid="{00000000-0005-0000-0000-000031050000}"/>
    <cellStyle name="PSDec 18 2" xfId="1511" xr:uid="{00000000-0005-0000-0000-000032050000}"/>
    <cellStyle name="PSDec 18 3" xfId="1049" xr:uid="{00000000-0005-0000-0000-000033050000}"/>
    <cellStyle name="PSDec 19" xfId="551" xr:uid="{00000000-0005-0000-0000-000034050000}"/>
    <cellStyle name="PSDec 19 2" xfId="1532" xr:uid="{00000000-0005-0000-0000-000035050000}"/>
    <cellStyle name="PSDec 19 3" xfId="1070" xr:uid="{00000000-0005-0000-0000-000036050000}"/>
    <cellStyle name="PSDec 2" xfId="20" xr:uid="{00000000-0005-0000-0000-000037050000}"/>
    <cellStyle name="PSDec 2 10" xfId="399" xr:uid="{00000000-0005-0000-0000-000038050000}"/>
    <cellStyle name="PSDec 2 11" xfId="428" xr:uid="{00000000-0005-0000-0000-000039050000}"/>
    <cellStyle name="PSDec 2 12" xfId="457" xr:uid="{00000000-0005-0000-0000-00003A050000}"/>
    <cellStyle name="PSDec 2 13" xfId="486" xr:uid="{00000000-0005-0000-0000-00003B050000}"/>
    <cellStyle name="PSDec 2 14" xfId="515" xr:uid="{00000000-0005-0000-0000-00003C050000}"/>
    <cellStyle name="PSDec 2 15" xfId="545" xr:uid="{00000000-0005-0000-0000-00003D050000}"/>
    <cellStyle name="PSDec 2 16" xfId="575" xr:uid="{00000000-0005-0000-0000-00003E050000}"/>
    <cellStyle name="PSDec 2 17" xfId="605" xr:uid="{00000000-0005-0000-0000-00003F050000}"/>
    <cellStyle name="PSDec 2 18" xfId="635" xr:uid="{00000000-0005-0000-0000-000040050000}"/>
    <cellStyle name="PSDec 2 19" xfId="665" xr:uid="{00000000-0005-0000-0000-000041050000}"/>
    <cellStyle name="PSDec 2 2" xfId="164" xr:uid="{00000000-0005-0000-0000-000042050000}"/>
    <cellStyle name="PSDec 2 20" xfId="693" xr:uid="{00000000-0005-0000-0000-000043050000}"/>
    <cellStyle name="PSDec 2 21" xfId="722" xr:uid="{00000000-0005-0000-0000-000044050000}"/>
    <cellStyle name="PSDec 2 3" xfId="193" xr:uid="{00000000-0005-0000-0000-000045050000}"/>
    <cellStyle name="PSDec 2 4" xfId="224" xr:uid="{00000000-0005-0000-0000-000046050000}"/>
    <cellStyle name="PSDec 2 5" xfId="253" xr:uid="{00000000-0005-0000-0000-000047050000}"/>
    <cellStyle name="PSDec 2 6" xfId="282" xr:uid="{00000000-0005-0000-0000-000048050000}"/>
    <cellStyle name="PSDec 2 7" xfId="311" xr:uid="{00000000-0005-0000-0000-000049050000}"/>
    <cellStyle name="PSDec 2 8" xfId="340" xr:uid="{00000000-0005-0000-0000-00004A050000}"/>
    <cellStyle name="PSDec 2 9" xfId="369" xr:uid="{00000000-0005-0000-0000-00004B050000}"/>
    <cellStyle name="PSDec 20" xfId="581" xr:uid="{00000000-0005-0000-0000-00004C050000}"/>
    <cellStyle name="PSDec 20 2" xfId="1553" xr:uid="{00000000-0005-0000-0000-00004D050000}"/>
    <cellStyle name="PSDec 20 3" xfId="1091" xr:uid="{00000000-0005-0000-0000-00004E050000}"/>
    <cellStyle name="PSDec 21" xfId="611" xr:uid="{00000000-0005-0000-0000-00004F050000}"/>
    <cellStyle name="PSDec 21 2" xfId="1574" xr:uid="{00000000-0005-0000-0000-000050050000}"/>
    <cellStyle name="PSDec 21 3" xfId="1112" xr:uid="{00000000-0005-0000-0000-000051050000}"/>
    <cellStyle name="PSDec 22" xfId="641" xr:uid="{00000000-0005-0000-0000-000052050000}"/>
    <cellStyle name="PSDec 22 2" xfId="1595" xr:uid="{00000000-0005-0000-0000-000053050000}"/>
    <cellStyle name="PSDec 22 3" xfId="1133" xr:uid="{00000000-0005-0000-0000-000054050000}"/>
    <cellStyle name="PSDec 23" xfId="670" xr:uid="{00000000-0005-0000-0000-000055050000}"/>
    <cellStyle name="PSDec 23 2" xfId="1615" xr:uid="{00000000-0005-0000-0000-000056050000}"/>
    <cellStyle name="PSDec 23 3" xfId="1153" xr:uid="{00000000-0005-0000-0000-000057050000}"/>
    <cellStyle name="PSDec 24" xfId="699" xr:uid="{00000000-0005-0000-0000-000058050000}"/>
    <cellStyle name="PSDec 24 2" xfId="1635" xr:uid="{00000000-0005-0000-0000-000059050000}"/>
    <cellStyle name="PSDec 24 3" xfId="1173" xr:uid="{00000000-0005-0000-0000-00005A050000}"/>
    <cellStyle name="PSDec 3" xfId="30" xr:uid="{00000000-0005-0000-0000-00005B050000}"/>
    <cellStyle name="PSDec 3 2" xfId="1196" xr:uid="{00000000-0005-0000-0000-00005C050000}"/>
    <cellStyle name="PSDec 3 3" xfId="734" xr:uid="{00000000-0005-0000-0000-00005D050000}"/>
    <cellStyle name="PSDec 4" xfId="36" xr:uid="{00000000-0005-0000-0000-00005E050000}"/>
    <cellStyle name="PSDec 4 2" xfId="1202" xr:uid="{00000000-0005-0000-0000-00005F050000}"/>
    <cellStyle name="PSDec 4 3" xfId="740" xr:uid="{00000000-0005-0000-0000-000060050000}"/>
    <cellStyle name="PSDec 5" xfId="139" xr:uid="{00000000-0005-0000-0000-000061050000}"/>
    <cellStyle name="PSDec 5 2" xfId="1248" xr:uid="{00000000-0005-0000-0000-000062050000}"/>
    <cellStyle name="PSDec 5 3" xfId="786" xr:uid="{00000000-0005-0000-0000-000063050000}"/>
    <cellStyle name="PSDec 6" xfId="170" xr:uid="{00000000-0005-0000-0000-000064050000}"/>
    <cellStyle name="PSDec 6 2" xfId="1268" xr:uid="{00000000-0005-0000-0000-000065050000}"/>
    <cellStyle name="PSDec 6 3" xfId="806" xr:uid="{00000000-0005-0000-0000-000066050000}"/>
    <cellStyle name="PSDec 7" xfId="200" xr:uid="{00000000-0005-0000-0000-000067050000}"/>
    <cellStyle name="PSDec 7 2" xfId="1289" xr:uid="{00000000-0005-0000-0000-000068050000}"/>
    <cellStyle name="PSDec 7 3" xfId="827" xr:uid="{00000000-0005-0000-0000-000069050000}"/>
    <cellStyle name="PSDec 8" xfId="229" xr:uid="{00000000-0005-0000-0000-00006A050000}"/>
    <cellStyle name="PSDec 8 2" xfId="1309" xr:uid="{00000000-0005-0000-0000-00006B050000}"/>
    <cellStyle name="PSDec 8 3" xfId="847" xr:uid="{00000000-0005-0000-0000-00006C050000}"/>
    <cellStyle name="PSDec 9" xfId="258" xr:uid="{00000000-0005-0000-0000-00006D050000}"/>
    <cellStyle name="PSDec 9 2" xfId="1329" xr:uid="{00000000-0005-0000-0000-00006E050000}"/>
    <cellStyle name="PSDec 9 3" xfId="867" xr:uid="{00000000-0005-0000-0000-00006F050000}"/>
    <cellStyle name="PSHeading" xfId="8" xr:uid="{00000000-0005-0000-0000-000070050000}"/>
    <cellStyle name="PSHeading 10" xfId="288" xr:uid="{00000000-0005-0000-0000-000071050000}"/>
    <cellStyle name="PSHeading 10 2" xfId="1350" xr:uid="{00000000-0005-0000-0000-000072050000}"/>
    <cellStyle name="PSHeading 10 3" xfId="888" xr:uid="{00000000-0005-0000-0000-000073050000}"/>
    <cellStyle name="PSHeading 11" xfId="317" xr:uid="{00000000-0005-0000-0000-000074050000}"/>
    <cellStyle name="PSHeading 11 2" xfId="1370" xr:uid="{00000000-0005-0000-0000-000075050000}"/>
    <cellStyle name="PSHeading 11 3" xfId="908" xr:uid="{00000000-0005-0000-0000-000076050000}"/>
    <cellStyle name="PSHeading 12" xfId="346" xr:uid="{00000000-0005-0000-0000-000077050000}"/>
    <cellStyle name="PSHeading 12 2" xfId="1390" xr:uid="{00000000-0005-0000-0000-000078050000}"/>
    <cellStyle name="PSHeading 12 3" xfId="928" xr:uid="{00000000-0005-0000-0000-000079050000}"/>
    <cellStyle name="PSHeading 13" xfId="376" xr:uid="{00000000-0005-0000-0000-00007A050000}"/>
    <cellStyle name="PSHeading 13 2" xfId="1411" xr:uid="{00000000-0005-0000-0000-00007B050000}"/>
    <cellStyle name="PSHeading 13 3" xfId="949" xr:uid="{00000000-0005-0000-0000-00007C050000}"/>
    <cellStyle name="PSHeading 14" xfId="405" xr:uid="{00000000-0005-0000-0000-00007D050000}"/>
    <cellStyle name="PSHeading 14 2" xfId="1431" xr:uid="{00000000-0005-0000-0000-00007E050000}"/>
    <cellStyle name="PSHeading 14 3" xfId="969" xr:uid="{00000000-0005-0000-0000-00007F050000}"/>
    <cellStyle name="PSHeading 15" xfId="434" xr:uid="{00000000-0005-0000-0000-000080050000}"/>
    <cellStyle name="PSHeading 15 2" xfId="1451" xr:uid="{00000000-0005-0000-0000-000081050000}"/>
    <cellStyle name="PSHeading 15 3" xfId="989" xr:uid="{00000000-0005-0000-0000-000082050000}"/>
    <cellStyle name="PSHeading 16" xfId="463" xr:uid="{00000000-0005-0000-0000-000083050000}"/>
    <cellStyle name="PSHeading 16 2" xfId="1471" xr:uid="{00000000-0005-0000-0000-000084050000}"/>
    <cellStyle name="PSHeading 16 3" xfId="1009" xr:uid="{00000000-0005-0000-0000-000085050000}"/>
    <cellStyle name="PSHeading 17" xfId="492" xr:uid="{00000000-0005-0000-0000-000086050000}"/>
    <cellStyle name="PSHeading 17 2" xfId="1491" xr:uid="{00000000-0005-0000-0000-000087050000}"/>
    <cellStyle name="PSHeading 17 3" xfId="1029" xr:uid="{00000000-0005-0000-0000-000088050000}"/>
    <cellStyle name="PSHeading 18" xfId="522" xr:uid="{00000000-0005-0000-0000-000089050000}"/>
    <cellStyle name="PSHeading 18 2" xfId="1512" xr:uid="{00000000-0005-0000-0000-00008A050000}"/>
    <cellStyle name="PSHeading 18 3" xfId="1050" xr:uid="{00000000-0005-0000-0000-00008B050000}"/>
    <cellStyle name="PSHeading 19" xfId="552" xr:uid="{00000000-0005-0000-0000-00008C050000}"/>
    <cellStyle name="PSHeading 19 2" xfId="1533" xr:uid="{00000000-0005-0000-0000-00008D050000}"/>
    <cellStyle name="PSHeading 19 3" xfId="1071" xr:uid="{00000000-0005-0000-0000-00008E050000}"/>
    <cellStyle name="PSHeading 2" xfId="21" xr:uid="{00000000-0005-0000-0000-00008F050000}"/>
    <cellStyle name="PSHeading 2 10" xfId="400" xr:uid="{00000000-0005-0000-0000-000090050000}"/>
    <cellStyle name="PSHeading 2 11" xfId="429" xr:uid="{00000000-0005-0000-0000-000091050000}"/>
    <cellStyle name="PSHeading 2 12" xfId="458" xr:uid="{00000000-0005-0000-0000-000092050000}"/>
    <cellStyle name="PSHeading 2 13" xfId="487" xr:uid="{00000000-0005-0000-0000-000093050000}"/>
    <cellStyle name="PSHeading 2 14" xfId="516" xr:uid="{00000000-0005-0000-0000-000094050000}"/>
    <cellStyle name="PSHeading 2 15" xfId="546" xr:uid="{00000000-0005-0000-0000-000095050000}"/>
    <cellStyle name="PSHeading 2 16" xfId="576" xr:uid="{00000000-0005-0000-0000-000096050000}"/>
    <cellStyle name="PSHeading 2 17" xfId="606" xr:uid="{00000000-0005-0000-0000-000097050000}"/>
    <cellStyle name="PSHeading 2 18" xfId="636" xr:uid="{00000000-0005-0000-0000-000098050000}"/>
    <cellStyle name="PSHeading 2 19" xfId="666" xr:uid="{00000000-0005-0000-0000-000099050000}"/>
    <cellStyle name="PSHeading 2 2" xfId="165" xr:uid="{00000000-0005-0000-0000-00009A050000}"/>
    <cellStyle name="PSHeading 2 20" xfId="694" xr:uid="{00000000-0005-0000-0000-00009B050000}"/>
    <cellStyle name="PSHeading 2 21" xfId="723" xr:uid="{00000000-0005-0000-0000-00009C050000}"/>
    <cellStyle name="PSHeading 2 3" xfId="194" xr:uid="{00000000-0005-0000-0000-00009D050000}"/>
    <cellStyle name="PSHeading 2 4" xfId="225" xr:uid="{00000000-0005-0000-0000-00009E050000}"/>
    <cellStyle name="PSHeading 2 5" xfId="254" xr:uid="{00000000-0005-0000-0000-00009F050000}"/>
    <cellStyle name="PSHeading 2 6" xfId="283" xr:uid="{00000000-0005-0000-0000-0000A0050000}"/>
    <cellStyle name="PSHeading 2 7" xfId="312" xr:uid="{00000000-0005-0000-0000-0000A1050000}"/>
    <cellStyle name="PSHeading 2 8" xfId="341" xr:uid="{00000000-0005-0000-0000-0000A2050000}"/>
    <cellStyle name="PSHeading 2 9" xfId="370" xr:uid="{00000000-0005-0000-0000-0000A3050000}"/>
    <cellStyle name="PSHeading 20" xfId="582" xr:uid="{00000000-0005-0000-0000-0000A4050000}"/>
    <cellStyle name="PSHeading 20 2" xfId="1554" xr:uid="{00000000-0005-0000-0000-0000A5050000}"/>
    <cellStyle name="PSHeading 20 3" xfId="1092" xr:uid="{00000000-0005-0000-0000-0000A6050000}"/>
    <cellStyle name="PSHeading 21" xfId="612" xr:uid="{00000000-0005-0000-0000-0000A7050000}"/>
    <cellStyle name="PSHeading 21 2" xfId="1575" xr:uid="{00000000-0005-0000-0000-0000A8050000}"/>
    <cellStyle name="PSHeading 21 3" xfId="1113" xr:uid="{00000000-0005-0000-0000-0000A9050000}"/>
    <cellStyle name="PSHeading 22" xfId="642" xr:uid="{00000000-0005-0000-0000-0000AA050000}"/>
    <cellStyle name="PSHeading 22 2" xfId="1596" xr:uid="{00000000-0005-0000-0000-0000AB050000}"/>
    <cellStyle name="PSHeading 22 3" xfId="1134" xr:uid="{00000000-0005-0000-0000-0000AC050000}"/>
    <cellStyle name="PSHeading 23" xfId="671" xr:uid="{00000000-0005-0000-0000-0000AD050000}"/>
    <cellStyle name="PSHeading 23 2" xfId="1616" xr:uid="{00000000-0005-0000-0000-0000AE050000}"/>
    <cellStyle name="PSHeading 23 3" xfId="1154" xr:uid="{00000000-0005-0000-0000-0000AF050000}"/>
    <cellStyle name="PSHeading 24" xfId="700" xr:uid="{00000000-0005-0000-0000-0000B0050000}"/>
    <cellStyle name="PSHeading 24 2" xfId="1636" xr:uid="{00000000-0005-0000-0000-0000B1050000}"/>
    <cellStyle name="PSHeading 24 3" xfId="1174" xr:uid="{00000000-0005-0000-0000-0000B2050000}"/>
    <cellStyle name="PSHeading 3" xfId="31" xr:uid="{00000000-0005-0000-0000-0000B3050000}"/>
    <cellStyle name="PSHeading 3 2" xfId="1197" xr:uid="{00000000-0005-0000-0000-0000B4050000}"/>
    <cellStyle name="PSHeading 3 3" xfId="735" xr:uid="{00000000-0005-0000-0000-0000B5050000}"/>
    <cellStyle name="PSHeading 4" xfId="37" xr:uid="{00000000-0005-0000-0000-0000B6050000}"/>
    <cellStyle name="PSHeading 4 2" xfId="1203" xr:uid="{00000000-0005-0000-0000-0000B7050000}"/>
    <cellStyle name="PSHeading 4 3" xfId="741" xr:uid="{00000000-0005-0000-0000-0000B8050000}"/>
    <cellStyle name="PSHeading 5" xfId="140" xr:uid="{00000000-0005-0000-0000-0000B9050000}"/>
    <cellStyle name="PSHeading 5 2" xfId="1249" xr:uid="{00000000-0005-0000-0000-0000BA050000}"/>
    <cellStyle name="PSHeading 5 3" xfId="787" xr:uid="{00000000-0005-0000-0000-0000BB050000}"/>
    <cellStyle name="PSHeading 6" xfId="171" xr:uid="{00000000-0005-0000-0000-0000BC050000}"/>
    <cellStyle name="PSHeading 6 2" xfId="1269" xr:uid="{00000000-0005-0000-0000-0000BD050000}"/>
    <cellStyle name="PSHeading 6 3" xfId="807" xr:uid="{00000000-0005-0000-0000-0000BE050000}"/>
    <cellStyle name="PSHeading 7" xfId="201" xr:uid="{00000000-0005-0000-0000-0000BF050000}"/>
    <cellStyle name="PSHeading 7 2" xfId="1290" xr:uid="{00000000-0005-0000-0000-0000C0050000}"/>
    <cellStyle name="PSHeading 7 3" xfId="828" xr:uid="{00000000-0005-0000-0000-0000C1050000}"/>
    <cellStyle name="PSHeading 8" xfId="230" xr:uid="{00000000-0005-0000-0000-0000C2050000}"/>
    <cellStyle name="PSHeading 8 2" xfId="1310" xr:uid="{00000000-0005-0000-0000-0000C3050000}"/>
    <cellStyle name="PSHeading 8 3" xfId="848" xr:uid="{00000000-0005-0000-0000-0000C4050000}"/>
    <cellStyle name="PSHeading 9" xfId="259" xr:uid="{00000000-0005-0000-0000-0000C5050000}"/>
    <cellStyle name="PSHeading 9 2" xfId="1330" xr:uid="{00000000-0005-0000-0000-0000C6050000}"/>
    <cellStyle name="PSHeading 9 3" xfId="868" xr:uid="{00000000-0005-0000-0000-0000C7050000}"/>
    <cellStyle name="PSInt" xfId="9" xr:uid="{00000000-0005-0000-0000-0000C8050000}"/>
    <cellStyle name="PSInt 10" xfId="289" xr:uid="{00000000-0005-0000-0000-0000C9050000}"/>
    <cellStyle name="PSInt 10 2" xfId="1351" xr:uid="{00000000-0005-0000-0000-0000CA050000}"/>
    <cellStyle name="PSInt 10 3" xfId="889" xr:uid="{00000000-0005-0000-0000-0000CB050000}"/>
    <cellStyle name="PSInt 11" xfId="318" xr:uid="{00000000-0005-0000-0000-0000CC050000}"/>
    <cellStyle name="PSInt 11 2" xfId="1371" xr:uid="{00000000-0005-0000-0000-0000CD050000}"/>
    <cellStyle name="PSInt 11 3" xfId="909" xr:uid="{00000000-0005-0000-0000-0000CE050000}"/>
    <cellStyle name="PSInt 12" xfId="347" xr:uid="{00000000-0005-0000-0000-0000CF050000}"/>
    <cellStyle name="PSInt 12 2" xfId="1391" xr:uid="{00000000-0005-0000-0000-0000D0050000}"/>
    <cellStyle name="PSInt 12 3" xfId="929" xr:uid="{00000000-0005-0000-0000-0000D1050000}"/>
    <cellStyle name="PSInt 13" xfId="377" xr:uid="{00000000-0005-0000-0000-0000D2050000}"/>
    <cellStyle name="PSInt 13 2" xfId="1412" xr:uid="{00000000-0005-0000-0000-0000D3050000}"/>
    <cellStyle name="PSInt 13 3" xfId="950" xr:uid="{00000000-0005-0000-0000-0000D4050000}"/>
    <cellStyle name="PSInt 14" xfId="406" xr:uid="{00000000-0005-0000-0000-0000D5050000}"/>
    <cellStyle name="PSInt 14 2" xfId="1432" xr:uid="{00000000-0005-0000-0000-0000D6050000}"/>
    <cellStyle name="PSInt 14 3" xfId="970" xr:uid="{00000000-0005-0000-0000-0000D7050000}"/>
    <cellStyle name="PSInt 15" xfId="435" xr:uid="{00000000-0005-0000-0000-0000D8050000}"/>
    <cellStyle name="PSInt 15 2" xfId="1452" xr:uid="{00000000-0005-0000-0000-0000D9050000}"/>
    <cellStyle name="PSInt 15 3" xfId="990" xr:uid="{00000000-0005-0000-0000-0000DA050000}"/>
    <cellStyle name="PSInt 16" xfId="464" xr:uid="{00000000-0005-0000-0000-0000DB050000}"/>
    <cellStyle name="PSInt 16 2" xfId="1472" xr:uid="{00000000-0005-0000-0000-0000DC050000}"/>
    <cellStyle name="PSInt 16 3" xfId="1010" xr:uid="{00000000-0005-0000-0000-0000DD050000}"/>
    <cellStyle name="PSInt 17" xfId="493" xr:uid="{00000000-0005-0000-0000-0000DE050000}"/>
    <cellStyle name="PSInt 17 2" xfId="1492" xr:uid="{00000000-0005-0000-0000-0000DF050000}"/>
    <cellStyle name="PSInt 17 3" xfId="1030" xr:uid="{00000000-0005-0000-0000-0000E0050000}"/>
    <cellStyle name="PSInt 18" xfId="523" xr:uid="{00000000-0005-0000-0000-0000E1050000}"/>
    <cellStyle name="PSInt 18 2" xfId="1513" xr:uid="{00000000-0005-0000-0000-0000E2050000}"/>
    <cellStyle name="PSInt 18 3" xfId="1051" xr:uid="{00000000-0005-0000-0000-0000E3050000}"/>
    <cellStyle name="PSInt 19" xfId="553" xr:uid="{00000000-0005-0000-0000-0000E4050000}"/>
    <cellStyle name="PSInt 19 2" xfId="1534" xr:uid="{00000000-0005-0000-0000-0000E5050000}"/>
    <cellStyle name="PSInt 19 3" xfId="1072" xr:uid="{00000000-0005-0000-0000-0000E6050000}"/>
    <cellStyle name="PSInt 2" xfId="22" xr:uid="{00000000-0005-0000-0000-0000E7050000}"/>
    <cellStyle name="PSInt 2 10" xfId="401" xr:uid="{00000000-0005-0000-0000-0000E8050000}"/>
    <cellStyle name="PSInt 2 11" xfId="430" xr:uid="{00000000-0005-0000-0000-0000E9050000}"/>
    <cellStyle name="PSInt 2 12" xfId="459" xr:uid="{00000000-0005-0000-0000-0000EA050000}"/>
    <cellStyle name="PSInt 2 13" xfId="488" xr:uid="{00000000-0005-0000-0000-0000EB050000}"/>
    <cellStyle name="PSInt 2 14" xfId="517" xr:uid="{00000000-0005-0000-0000-0000EC050000}"/>
    <cellStyle name="PSInt 2 15" xfId="547" xr:uid="{00000000-0005-0000-0000-0000ED050000}"/>
    <cellStyle name="PSInt 2 16" xfId="577" xr:uid="{00000000-0005-0000-0000-0000EE050000}"/>
    <cellStyle name="PSInt 2 17" xfId="607" xr:uid="{00000000-0005-0000-0000-0000EF050000}"/>
    <cellStyle name="PSInt 2 18" xfId="637" xr:uid="{00000000-0005-0000-0000-0000F0050000}"/>
    <cellStyle name="PSInt 2 19" xfId="667" xr:uid="{00000000-0005-0000-0000-0000F1050000}"/>
    <cellStyle name="PSInt 2 2" xfId="166" xr:uid="{00000000-0005-0000-0000-0000F2050000}"/>
    <cellStyle name="PSInt 2 20" xfId="695" xr:uid="{00000000-0005-0000-0000-0000F3050000}"/>
    <cellStyle name="PSInt 2 21" xfId="724" xr:uid="{00000000-0005-0000-0000-0000F4050000}"/>
    <cellStyle name="PSInt 2 3" xfId="195" xr:uid="{00000000-0005-0000-0000-0000F5050000}"/>
    <cellStyle name="PSInt 2 4" xfId="226" xr:uid="{00000000-0005-0000-0000-0000F6050000}"/>
    <cellStyle name="PSInt 2 5" xfId="255" xr:uid="{00000000-0005-0000-0000-0000F7050000}"/>
    <cellStyle name="PSInt 2 6" xfId="284" xr:uid="{00000000-0005-0000-0000-0000F8050000}"/>
    <cellStyle name="PSInt 2 7" xfId="313" xr:uid="{00000000-0005-0000-0000-0000F9050000}"/>
    <cellStyle name="PSInt 2 8" xfId="342" xr:uid="{00000000-0005-0000-0000-0000FA050000}"/>
    <cellStyle name="PSInt 2 9" xfId="371" xr:uid="{00000000-0005-0000-0000-0000FB050000}"/>
    <cellStyle name="PSInt 20" xfId="583" xr:uid="{00000000-0005-0000-0000-0000FC050000}"/>
    <cellStyle name="PSInt 20 2" xfId="1555" xr:uid="{00000000-0005-0000-0000-0000FD050000}"/>
    <cellStyle name="PSInt 20 3" xfId="1093" xr:uid="{00000000-0005-0000-0000-0000FE050000}"/>
    <cellStyle name="PSInt 21" xfId="613" xr:uid="{00000000-0005-0000-0000-0000FF050000}"/>
    <cellStyle name="PSInt 21 2" xfId="1576" xr:uid="{00000000-0005-0000-0000-000000060000}"/>
    <cellStyle name="PSInt 21 3" xfId="1114" xr:uid="{00000000-0005-0000-0000-000001060000}"/>
    <cellStyle name="PSInt 22" xfId="643" xr:uid="{00000000-0005-0000-0000-000002060000}"/>
    <cellStyle name="PSInt 22 2" xfId="1597" xr:uid="{00000000-0005-0000-0000-000003060000}"/>
    <cellStyle name="PSInt 22 3" xfId="1135" xr:uid="{00000000-0005-0000-0000-000004060000}"/>
    <cellStyle name="PSInt 23" xfId="672" xr:uid="{00000000-0005-0000-0000-000005060000}"/>
    <cellStyle name="PSInt 23 2" xfId="1617" xr:uid="{00000000-0005-0000-0000-000006060000}"/>
    <cellStyle name="PSInt 23 3" xfId="1155" xr:uid="{00000000-0005-0000-0000-000007060000}"/>
    <cellStyle name="PSInt 24" xfId="701" xr:uid="{00000000-0005-0000-0000-000008060000}"/>
    <cellStyle name="PSInt 24 2" xfId="1637" xr:uid="{00000000-0005-0000-0000-000009060000}"/>
    <cellStyle name="PSInt 24 3" xfId="1175" xr:uid="{00000000-0005-0000-0000-00000A060000}"/>
    <cellStyle name="PSInt 3" xfId="32" xr:uid="{00000000-0005-0000-0000-00000B060000}"/>
    <cellStyle name="PSInt 3 2" xfId="1198" xr:uid="{00000000-0005-0000-0000-00000C060000}"/>
    <cellStyle name="PSInt 3 3" xfId="736" xr:uid="{00000000-0005-0000-0000-00000D060000}"/>
    <cellStyle name="PSInt 4" xfId="38" xr:uid="{00000000-0005-0000-0000-00000E060000}"/>
    <cellStyle name="PSInt 4 2" xfId="1204" xr:uid="{00000000-0005-0000-0000-00000F060000}"/>
    <cellStyle name="PSInt 4 3" xfId="742" xr:uid="{00000000-0005-0000-0000-000010060000}"/>
    <cellStyle name="PSInt 5" xfId="141" xr:uid="{00000000-0005-0000-0000-000011060000}"/>
    <cellStyle name="PSInt 5 2" xfId="1250" xr:uid="{00000000-0005-0000-0000-000012060000}"/>
    <cellStyle name="PSInt 5 3" xfId="788" xr:uid="{00000000-0005-0000-0000-000013060000}"/>
    <cellStyle name="PSInt 6" xfId="172" xr:uid="{00000000-0005-0000-0000-000014060000}"/>
    <cellStyle name="PSInt 6 2" xfId="1270" xr:uid="{00000000-0005-0000-0000-000015060000}"/>
    <cellStyle name="PSInt 6 3" xfId="808" xr:uid="{00000000-0005-0000-0000-000016060000}"/>
    <cellStyle name="PSInt 7" xfId="202" xr:uid="{00000000-0005-0000-0000-000017060000}"/>
    <cellStyle name="PSInt 7 2" xfId="1291" xr:uid="{00000000-0005-0000-0000-000018060000}"/>
    <cellStyle name="PSInt 7 3" xfId="829" xr:uid="{00000000-0005-0000-0000-000019060000}"/>
    <cellStyle name="PSInt 8" xfId="231" xr:uid="{00000000-0005-0000-0000-00001A060000}"/>
    <cellStyle name="PSInt 8 2" xfId="1311" xr:uid="{00000000-0005-0000-0000-00001B060000}"/>
    <cellStyle name="PSInt 8 3" xfId="849" xr:uid="{00000000-0005-0000-0000-00001C060000}"/>
    <cellStyle name="PSInt 9" xfId="260" xr:uid="{00000000-0005-0000-0000-00001D060000}"/>
    <cellStyle name="PSInt 9 2" xfId="1331" xr:uid="{00000000-0005-0000-0000-00001E060000}"/>
    <cellStyle name="PSInt 9 3" xfId="869" xr:uid="{00000000-0005-0000-0000-00001F060000}"/>
    <cellStyle name="PSSpacer" xfId="10" xr:uid="{00000000-0005-0000-0000-000020060000}"/>
    <cellStyle name="PSSpacer 10" xfId="290" xr:uid="{00000000-0005-0000-0000-000021060000}"/>
    <cellStyle name="PSSpacer 10 2" xfId="1352" xr:uid="{00000000-0005-0000-0000-000022060000}"/>
    <cellStyle name="PSSpacer 10 3" xfId="890" xr:uid="{00000000-0005-0000-0000-000023060000}"/>
    <cellStyle name="PSSpacer 11" xfId="319" xr:uid="{00000000-0005-0000-0000-000024060000}"/>
    <cellStyle name="PSSpacer 11 2" xfId="1372" xr:uid="{00000000-0005-0000-0000-000025060000}"/>
    <cellStyle name="PSSpacer 11 3" xfId="910" xr:uid="{00000000-0005-0000-0000-000026060000}"/>
    <cellStyle name="PSSpacer 12" xfId="348" xr:uid="{00000000-0005-0000-0000-000027060000}"/>
    <cellStyle name="PSSpacer 12 2" xfId="1392" xr:uid="{00000000-0005-0000-0000-000028060000}"/>
    <cellStyle name="PSSpacer 12 3" xfId="930" xr:uid="{00000000-0005-0000-0000-000029060000}"/>
    <cellStyle name="PSSpacer 13" xfId="378" xr:uid="{00000000-0005-0000-0000-00002A060000}"/>
    <cellStyle name="PSSpacer 13 2" xfId="1413" xr:uid="{00000000-0005-0000-0000-00002B060000}"/>
    <cellStyle name="PSSpacer 13 3" xfId="951" xr:uid="{00000000-0005-0000-0000-00002C060000}"/>
    <cellStyle name="PSSpacer 14" xfId="407" xr:uid="{00000000-0005-0000-0000-00002D060000}"/>
    <cellStyle name="PSSpacer 14 2" xfId="1433" xr:uid="{00000000-0005-0000-0000-00002E060000}"/>
    <cellStyle name="PSSpacer 14 3" xfId="971" xr:uid="{00000000-0005-0000-0000-00002F060000}"/>
    <cellStyle name="PSSpacer 15" xfId="436" xr:uid="{00000000-0005-0000-0000-000030060000}"/>
    <cellStyle name="PSSpacer 15 2" xfId="1453" xr:uid="{00000000-0005-0000-0000-000031060000}"/>
    <cellStyle name="PSSpacer 15 3" xfId="991" xr:uid="{00000000-0005-0000-0000-000032060000}"/>
    <cellStyle name="PSSpacer 16" xfId="465" xr:uid="{00000000-0005-0000-0000-000033060000}"/>
    <cellStyle name="PSSpacer 16 2" xfId="1473" xr:uid="{00000000-0005-0000-0000-000034060000}"/>
    <cellStyle name="PSSpacer 16 3" xfId="1011" xr:uid="{00000000-0005-0000-0000-000035060000}"/>
    <cellStyle name="PSSpacer 17" xfId="494" xr:uid="{00000000-0005-0000-0000-000036060000}"/>
    <cellStyle name="PSSpacer 17 2" xfId="1493" xr:uid="{00000000-0005-0000-0000-000037060000}"/>
    <cellStyle name="PSSpacer 17 3" xfId="1031" xr:uid="{00000000-0005-0000-0000-000038060000}"/>
    <cellStyle name="PSSpacer 18" xfId="524" xr:uid="{00000000-0005-0000-0000-000039060000}"/>
    <cellStyle name="PSSpacer 18 2" xfId="1514" xr:uid="{00000000-0005-0000-0000-00003A060000}"/>
    <cellStyle name="PSSpacer 18 3" xfId="1052" xr:uid="{00000000-0005-0000-0000-00003B060000}"/>
    <cellStyle name="PSSpacer 19" xfId="554" xr:uid="{00000000-0005-0000-0000-00003C060000}"/>
    <cellStyle name="PSSpacer 19 2" xfId="1535" xr:uid="{00000000-0005-0000-0000-00003D060000}"/>
    <cellStyle name="PSSpacer 19 3" xfId="1073" xr:uid="{00000000-0005-0000-0000-00003E060000}"/>
    <cellStyle name="PSSpacer 2" xfId="23" xr:uid="{00000000-0005-0000-0000-00003F060000}"/>
    <cellStyle name="PSSpacer 2 10" xfId="402" xr:uid="{00000000-0005-0000-0000-000040060000}"/>
    <cellStyle name="PSSpacer 2 11" xfId="431" xr:uid="{00000000-0005-0000-0000-000041060000}"/>
    <cellStyle name="PSSpacer 2 12" xfId="460" xr:uid="{00000000-0005-0000-0000-000042060000}"/>
    <cellStyle name="PSSpacer 2 13" xfId="489" xr:uid="{00000000-0005-0000-0000-000043060000}"/>
    <cellStyle name="PSSpacer 2 14" xfId="518" xr:uid="{00000000-0005-0000-0000-000044060000}"/>
    <cellStyle name="PSSpacer 2 15" xfId="548" xr:uid="{00000000-0005-0000-0000-000045060000}"/>
    <cellStyle name="PSSpacer 2 16" xfId="578" xr:uid="{00000000-0005-0000-0000-000046060000}"/>
    <cellStyle name="PSSpacer 2 17" xfId="608" xr:uid="{00000000-0005-0000-0000-000047060000}"/>
    <cellStyle name="PSSpacer 2 18" xfId="638" xr:uid="{00000000-0005-0000-0000-000048060000}"/>
    <cellStyle name="PSSpacer 2 19" xfId="668" xr:uid="{00000000-0005-0000-0000-000049060000}"/>
    <cellStyle name="PSSpacer 2 2" xfId="167" xr:uid="{00000000-0005-0000-0000-00004A060000}"/>
    <cellStyle name="PSSpacer 2 20" xfId="696" xr:uid="{00000000-0005-0000-0000-00004B060000}"/>
    <cellStyle name="PSSpacer 2 21" xfId="725" xr:uid="{00000000-0005-0000-0000-00004C060000}"/>
    <cellStyle name="PSSpacer 2 3" xfId="196" xr:uid="{00000000-0005-0000-0000-00004D060000}"/>
    <cellStyle name="PSSpacer 2 4" xfId="227" xr:uid="{00000000-0005-0000-0000-00004E060000}"/>
    <cellStyle name="PSSpacer 2 5" xfId="256" xr:uid="{00000000-0005-0000-0000-00004F060000}"/>
    <cellStyle name="PSSpacer 2 6" xfId="285" xr:uid="{00000000-0005-0000-0000-000050060000}"/>
    <cellStyle name="PSSpacer 2 7" xfId="314" xr:uid="{00000000-0005-0000-0000-000051060000}"/>
    <cellStyle name="PSSpacer 2 8" xfId="343" xr:uid="{00000000-0005-0000-0000-000052060000}"/>
    <cellStyle name="PSSpacer 2 9" xfId="372" xr:uid="{00000000-0005-0000-0000-000053060000}"/>
    <cellStyle name="PSSpacer 20" xfId="584" xr:uid="{00000000-0005-0000-0000-000054060000}"/>
    <cellStyle name="PSSpacer 20 2" xfId="1556" xr:uid="{00000000-0005-0000-0000-000055060000}"/>
    <cellStyle name="PSSpacer 20 3" xfId="1094" xr:uid="{00000000-0005-0000-0000-000056060000}"/>
    <cellStyle name="PSSpacer 21" xfId="614" xr:uid="{00000000-0005-0000-0000-000057060000}"/>
    <cellStyle name="PSSpacer 21 2" xfId="1577" xr:uid="{00000000-0005-0000-0000-000058060000}"/>
    <cellStyle name="PSSpacer 21 3" xfId="1115" xr:uid="{00000000-0005-0000-0000-000059060000}"/>
    <cellStyle name="PSSpacer 22" xfId="644" xr:uid="{00000000-0005-0000-0000-00005A060000}"/>
    <cellStyle name="PSSpacer 22 2" xfId="1598" xr:uid="{00000000-0005-0000-0000-00005B060000}"/>
    <cellStyle name="PSSpacer 22 3" xfId="1136" xr:uid="{00000000-0005-0000-0000-00005C060000}"/>
    <cellStyle name="PSSpacer 23" xfId="673" xr:uid="{00000000-0005-0000-0000-00005D060000}"/>
    <cellStyle name="PSSpacer 23 2" xfId="1618" xr:uid="{00000000-0005-0000-0000-00005E060000}"/>
    <cellStyle name="PSSpacer 23 3" xfId="1156" xr:uid="{00000000-0005-0000-0000-00005F060000}"/>
    <cellStyle name="PSSpacer 24" xfId="702" xr:uid="{00000000-0005-0000-0000-000060060000}"/>
    <cellStyle name="PSSpacer 24 2" xfId="1638" xr:uid="{00000000-0005-0000-0000-000061060000}"/>
    <cellStyle name="PSSpacer 24 3" xfId="1176" xr:uid="{00000000-0005-0000-0000-000062060000}"/>
    <cellStyle name="PSSpacer 3" xfId="33" xr:uid="{00000000-0005-0000-0000-000063060000}"/>
    <cellStyle name="PSSpacer 3 2" xfId="1199" xr:uid="{00000000-0005-0000-0000-000064060000}"/>
    <cellStyle name="PSSpacer 3 3" xfId="737" xr:uid="{00000000-0005-0000-0000-000065060000}"/>
    <cellStyle name="PSSpacer 4" xfId="39" xr:uid="{00000000-0005-0000-0000-000066060000}"/>
    <cellStyle name="PSSpacer 4 2" xfId="1205" xr:uid="{00000000-0005-0000-0000-000067060000}"/>
    <cellStyle name="PSSpacer 4 3" xfId="743" xr:uid="{00000000-0005-0000-0000-000068060000}"/>
    <cellStyle name="PSSpacer 5" xfId="142" xr:uid="{00000000-0005-0000-0000-000069060000}"/>
    <cellStyle name="PSSpacer 5 2" xfId="1251" xr:uid="{00000000-0005-0000-0000-00006A060000}"/>
    <cellStyle name="PSSpacer 5 3" xfId="789" xr:uid="{00000000-0005-0000-0000-00006B060000}"/>
    <cellStyle name="PSSpacer 6" xfId="173" xr:uid="{00000000-0005-0000-0000-00006C060000}"/>
    <cellStyle name="PSSpacer 6 2" xfId="1271" xr:uid="{00000000-0005-0000-0000-00006D060000}"/>
    <cellStyle name="PSSpacer 6 3" xfId="809" xr:uid="{00000000-0005-0000-0000-00006E060000}"/>
    <cellStyle name="PSSpacer 7" xfId="203" xr:uid="{00000000-0005-0000-0000-00006F060000}"/>
    <cellStyle name="PSSpacer 7 2" xfId="1292" xr:uid="{00000000-0005-0000-0000-000070060000}"/>
    <cellStyle name="PSSpacer 7 3" xfId="830" xr:uid="{00000000-0005-0000-0000-000071060000}"/>
    <cellStyle name="PSSpacer 8" xfId="232" xr:uid="{00000000-0005-0000-0000-000072060000}"/>
    <cellStyle name="PSSpacer 8 2" xfId="1312" xr:uid="{00000000-0005-0000-0000-000073060000}"/>
    <cellStyle name="PSSpacer 8 3" xfId="850" xr:uid="{00000000-0005-0000-0000-000074060000}"/>
    <cellStyle name="PSSpacer 9" xfId="261" xr:uid="{00000000-0005-0000-0000-000075060000}"/>
    <cellStyle name="PSSpacer 9 2" xfId="1332" xr:uid="{00000000-0005-0000-0000-000076060000}"/>
    <cellStyle name="PSSpacer 9 3" xfId="870" xr:uid="{00000000-0005-0000-0000-000077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3EDD1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9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7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C/FIN/2007/Idaho%20Power/Tax%20Depr/2007%20Rate%20Case%20Estimate/2007%20Rate%20Case%20-%20Book%20to%20Tax%20Basis%20Additions%20-%20Estimate%20-%2012%20(Dec)%202007%20-%20Did%20not%20bo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en/AppData/Local/Microsoft/Windows/Temporary%20Internet%20Files/Low/Content.IE5/38TGET19/PS/SPRBudgets.xl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MP%20Fin%20and%20Oper%20Meeting%20for%20August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ms6447/My%20Documents/files/2008/2008%20Test%20Year/models/j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OpFin\2006%20True%20Up\Annual%20Charges-RRE%20Reviewed\2007-01%20PAC%20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lis\home\TEMP\K-EVAL~1\CT6_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jw2955/AppData/Roaming/Microsoft/Excel/LSO%202014%20OM%20Recast%20CC%2065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0%20Recast/Delivery%20Eng%20&amp;%20Ops/O&amp;M/Del%20Eng%20Ops%20-%20O&amp;M%20Recast%202%20Templat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illway/fin/OPFIN/Working%20Files/Power%20Supply/Anne%20Wadsworth/Recast/Budget%20Update-LRR/LRR%202017%20OM%20Budget%20CC82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en/AppData/Local/Microsoft/Windows/Temporary%20Internet%20Files/Low/Content.IE5/38TGET19/Documents%20and%20Settings/bm12605/Local%20Settings/Temporary%20Internet%20Files/OLKA/2004%20IT%20Scorecard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idahopowercompany.sharepoint.com/sites/2025IdahoGeneralRateCase/Shared%20Documents/General/Rate%20Case%20Exhibit%20Support/Item%2026%20-%20Electric%20Plant%20In%20Service/Worksheet%20in%20C:%20Users%20mjw2955%20AppData%20Local%20Microsoft%20Windows%20Temporary%20Internet%20Files%20Content.Outlook%20J1ZI0FIG%20OMS%20EBC%202015%20(2).docx?E634954B" TargetMode="External"/><Relationship Id="rId1" Type="http://schemas.openxmlformats.org/officeDocument/2006/relationships/externalLinkPath" Target="file:///\\E634954B\%20Users%20mjw2955%20AppData%20Local%20Microsoft%20Windows%20Temporary%20Internet%20Files%20Content.Outlook%20J1ZI0FIG%20OMS%20EBC%202015%20(2).doc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en/AppData/Local/Microsoft/Windows/Temporary%20Internet%20Files/Low/Content.IE5/38TGET19/April%20Outlook%20Pk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ten/AppData/Local/Microsoft/Windows/Temporary%20Internet%20Files/Low/Content.IE5/38TGET19/DOCUME~1/ca11724/LOCALS~1/Temp/2004%20vs%202005%20Total%20Company%20FTE%20Comparison%20by%20Rollu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nvsdril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OpFin\Facilities\2014%20Facilities%20Update%20-%20PWorths-A%20Facilitie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lis\home\Documents%20and%20Settings\zoo8980\Local%20Settings\Temporary%20Internet%20Files\OLK276\Total%20Cost%20of%20Ownership%20Workboo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2010%20Test%20Year/IPC-E-08-10%20Exhibits%20(Schwendiman)/datas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sno\corpact\Revenue%20Calculations\Idaho\Compliance%20Filings\2013\RevCalc%20-%20Idaho%20-%20PCA%20Effective%20June%201,%202013%20Full%20Rate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dahopowercompany.sharepoint.com/sites/2025IdahoGeneralRateCase/Shared%20Documents/General/Exhibits%20-%20Final/Exhibits%202025%20Idaho.xlsx" TargetMode="External"/><Relationship Id="rId1" Type="http://schemas.openxmlformats.org/officeDocument/2006/relationships/externalLinkPath" Target="/sites/2025IdahoGeneralRateCase/Shared%20Documents/General/Exhibits%20-%20Final/Exhibits%202025%20Ida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C Change from Oct 07-Page 1"/>
      <sheetName val="Depr Change from Oct 07-Page 2"/>
      <sheetName val="2007 ADDITIONS-Page 3"/>
      <sheetName val="ADJUSTMENTS"/>
      <sheetName val="Estimated Adj-Functionalized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s"/>
      <sheetName val="Overheads"/>
      <sheetName val="Position"/>
      <sheetName val="deptid"/>
      <sheetName val="activity"/>
      <sheetName val="product"/>
      <sheetName val="resource"/>
      <sheetName val="categories"/>
      <sheetName val="projact"/>
      <sheetName val="acctDeriv"/>
      <sheetName val="PrdAcct"/>
      <sheetName val="AcctDept"/>
      <sheetName val="acct"/>
      <sheetName val="spli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 Sheet"/>
      <sheetName val="Graphs"/>
      <sheetName val="RMP Summary"/>
      <sheetName val="RMP OMAG"/>
      <sheetName val="RMP OMAG 2"/>
      <sheetName val="CAPEX 1"/>
      <sheetName val="CAPEX 2"/>
      <sheetName val="Notes"/>
      <sheetName val="Workforce Budget"/>
      <sheetName val="Workforce Actual"/>
      <sheetName val="Workforce"/>
      <sheetName val="Graph Data"/>
      <sheetName val="EBIT-RMP Detail"/>
      <sheetName val="OMAG by Dept"/>
      <sheetName val="Capex Summary"/>
      <sheetName val="OMAG-RMP Detail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 ID"/>
      <sheetName val="JSS-RevReq AL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1"/>
      <sheetName val="A2"/>
      <sheetName val="A2.1"/>
      <sheetName val="A3"/>
      <sheetName val="A3.1"/>
      <sheetName val="A4"/>
      <sheetName val="A4.1"/>
      <sheetName val="A4.2"/>
      <sheetName val="A5"/>
      <sheetName val="A6"/>
      <sheetName val="A6.1"/>
      <sheetName val="A6.2"/>
      <sheetName val="A7"/>
      <sheetName val="A8"/>
      <sheetName val="A8.1"/>
      <sheetName val="A8.2"/>
      <sheetName val="A9"/>
      <sheetName val="M"/>
      <sheetName val="DPrint"/>
      <sheetName val="Macro"/>
      <sheetName val="A1: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Inputs"/>
      <sheetName val="Screens"/>
      <sheetName val="Cash Flow"/>
      <sheetName val="Chart1"/>
      <sheetName val="Capital Summary"/>
      <sheetName val="Capital Inputs"/>
      <sheetName val="OandM"/>
      <sheetName val="Labor"/>
      <sheetName val="Revenue"/>
      <sheetName val="Work Space"/>
      <sheetName val="Labor Capital"/>
      <sheetName val="Cap1"/>
      <sheetName val="Cap2"/>
      <sheetName val="Cap3"/>
      <sheetName val="Cap4"/>
      <sheetName val="Cap5"/>
      <sheetName val="Cap6"/>
      <sheetName val="Cap7"/>
      <sheetName val="Cap8"/>
      <sheetName val="Cap9"/>
      <sheetName val="Cap10"/>
      <sheetName val="Capital"/>
      <sheetName val="DBWork"/>
      <sheetName val="MTasks"/>
      <sheetName val="DGraph"/>
      <sheetName val="DViewer"/>
      <sheetName val="DPrinter"/>
      <sheetName val="MCapital"/>
      <sheetName val="DCapital1"/>
      <sheetName val="M_WOF"/>
      <sheetName val="D_WOF"/>
      <sheetName val="DCWins"/>
      <sheetName val="MRevenue"/>
      <sheetName val="DRevenue"/>
      <sheetName val="DRWins"/>
      <sheetName val="MLabor"/>
      <sheetName val="DLabor"/>
      <sheetName val="DLWins"/>
      <sheetName val="MOandM"/>
      <sheetName val="DOandM"/>
      <sheetName val="DOWins"/>
      <sheetName val="MScenario"/>
      <sheetName val="DSave"/>
      <sheetName val="MLoad Fin Inpu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/>
      <sheetData sheetId="31"/>
      <sheetData sheetId="32" refreshError="1"/>
      <sheetData sheetId="33"/>
      <sheetData sheetId="34"/>
      <sheetData sheetId="35" refreshError="1"/>
      <sheetData sheetId="36"/>
      <sheetData sheetId="37"/>
      <sheetData sheetId="38" refreshError="1"/>
      <sheetData sheetId="39"/>
      <sheetData sheetId="40"/>
      <sheetData sheetId="41" refreshError="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ACTUAL DETAIL"/>
      <sheetName val="2013"/>
      <sheetName val="LABOR HRS"/>
      <sheetName val="ACTUAL QUERY"/>
      <sheetName val="ACTUALS 2013"/>
      <sheetName val="lookups"/>
      <sheetName val="REVISED BUDGET"/>
      <sheetName val="2013 BUDGET"/>
      <sheetName val="2013 bu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st 2 Summary Report"/>
      <sheetName val="Recast 2 Transaction Log"/>
      <sheetName val="Recast 2 Summary Trans Log"/>
      <sheetName val="Recast 2 Detail"/>
      <sheetName val="Recast 2 ProClarity"/>
      <sheetName val="Monthly Numbers"/>
      <sheetName val="YTD Numbers"/>
      <sheetName val="Cost Center Lookup"/>
      <sheetName val="Cost Element Lookup"/>
      <sheetName val="Date Lookup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YTD ACTUAL-BUDGET "/>
      <sheetName val="O&amp;M YTD ACTUAL-BUDGET "/>
      <sheetName val="BUDGET UPDATE"/>
      <sheetName val="ACTUAL QUERY"/>
      <sheetName val="Sheet3"/>
      <sheetName val="Actual-Details Query"/>
      <sheetName val="lookups"/>
      <sheetName val="2017 TOTAL BUDGET"/>
      <sheetName val="2017 SOFTWARE"/>
      <sheetName val="PREPAIDS IN PPLS"/>
      <sheetName val="2017 EMPLOYEE EXPENSES"/>
      <sheetName val="2017 OTHER EXPEN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ecard"/>
      <sheetName val="Desk Roll"/>
      <sheetName val="Tele Roll "/>
      <sheetName val="Net Rollup"/>
      <sheetName val=" CIS Roll"/>
      <sheetName val="ERP Roll"/>
      <sheetName val="IPO"/>
      <sheetName val="Desktop"/>
      <sheetName val="Graph"/>
      <sheetName val="Trng Detail"/>
      <sheetName val="Trng"/>
      <sheetName val="Monthly CIS Run Rate"/>
      <sheetName val="DESIGN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Estimation"/>
      <sheetName val="Carry Over"/>
      <sheetName val="Old Exp Business Case"/>
      <sheetName val="Sheet2"/>
      <sheetName val="Sheet3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3"/>
      <sheetName val="Page 4"/>
      <sheetName val="Page 5"/>
      <sheetName val="Page 7"/>
      <sheetName val="Page 9"/>
      <sheetName val="Page 10"/>
      <sheetName val="Page 12"/>
      <sheetName val="Page 13"/>
      <sheetName val="Page 14"/>
      <sheetName val="Pages 15 &amp; 16"/>
      <sheetName val="Page 17"/>
      <sheetName val="Page 18"/>
      <sheetName val="Page 19"/>
      <sheetName val="Page 20"/>
      <sheetName val="Page 22"/>
      <sheetName val="Page 23"/>
      <sheetName val="Page 24"/>
      <sheetName val="Page 25."/>
      <sheetName val="Page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COMPANY - 04 A vs 05 B_HC"/>
      <sheetName val="12-31-04 Actuals HC_ FTE PIVOT"/>
      <sheetName val="04 Actuals HC_FTE"/>
      <sheetName val="2004 Actuals Summary"/>
      <sheetName val="2005 Budget FTE PIVOT"/>
      <sheetName val="05 Budget FTE"/>
      <sheetName val="Baseline - updated"/>
      <sheetName val="New Organiz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"/>
      <sheetName val="A-2"/>
      <sheetName val="A-2.1"/>
      <sheetName val="A-3&amp;4"/>
      <sheetName val="A-3.1"/>
      <sheetName val="A-4.1 &amp; 6.2"/>
      <sheetName val="A-4.2"/>
      <sheetName val="A-4.3"/>
      <sheetName val="A-5&amp;7"/>
      <sheetName val="A-5.1"/>
      <sheetName val="A-6 &amp; 8.2, B19.104"/>
      <sheetName val="A-6.1 &amp; 8.1, B19.103"/>
      <sheetName val="A-6.3, B13.2"/>
      <sheetName val="A-7.1"/>
      <sheetName val="A-8, B19.101"/>
      <sheetName val="A-8.3"/>
      <sheetName val="A-9"/>
      <sheetName val="A-10, B9.1 &amp; B10.2"/>
      <sheetName val="A-11, A-11.1"/>
      <sheetName val="A-11.2, B15.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"/>
      <sheetName val="Definitions &gt;"/>
      <sheetName val="General Facilities Data "/>
      <sheetName val="O&amp;M Data "/>
      <sheetName val="Renewal and Replacement "/>
      <sheetName val="Energy Costs "/>
      <sheetName val="Total Cost of Ownership "/>
      <sheetName val="2005 - 2025 "/>
      <sheetName val="Sheet4"/>
      <sheetName val="Sheet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_ID"/>
      <sheetName val="JSS-RevReq ALL"/>
      <sheetName val="wo ADIT"/>
      <sheetName val="Data"/>
      <sheetName val="wk_expense_adj"/>
      <sheetName val="MemCont Ded"/>
      <sheetName val="keywor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-up"/>
      <sheetName val="Larkin Ex. 2 Rev. Sharing"/>
      <sheetName val="DSM Recovery 2011"/>
      <sheetName val="Trackers"/>
      <sheetName val="Summary - FCA"/>
      <sheetName val="Test Year"/>
      <sheetName val="Rate Adjustments"/>
      <sheetName val="Sum Check"/>
      <sheetName val="Headers-Footers-Notes"/>
      <sheetName val="FCA Calc"/>
      <sheetName val="Rev Sharing Rates 2013"/>
      <sheetName val="Adjustments"/>
      <sheetName val="Impact Template"/>
      <sheetName val="Rev Sharing Impact"/>
      <sheetName val="FCA Impact "/>
      <sheetName val="Typical Residential"/>
      <sheetName val="Complete Combo Impact"/>
      <sheetName val="Summary - Billed"/>
      <sheetName val="Summary - Billed Zach"/>
      <sheetName val="Summary - Base Zach"/>
      <sheetName val="Summary - Base"/>
      <sheetName val="I01"/>
      <sheetName val="I03"/>
      <sheetName val="I04"/>
      <sheetName val="I05"/>
      <sheetName val="I07"/>
      <sheetName val="I09S"/>
      <sheetName val="I09P"/>
      <sheetName val="I09T"/>
      <sheetName val="I15"/>
      <sheetName val="I19S"/>
      <sheetName val="I19P"/>
      <sheetName val="I19T"/>
      <sheetName val="I24S"/>
      <sheetName val="I24T"/>
      <sheetName val="I40"/>
      <sheetName val="I41"/>
      <sheetName val="I42"/>
      <sheetName val="I26"/>
      <sheetName val="I29"/>
      <sheetName val="I30"/>
      <sheetName val="I32"/>
      <sheetName val="for Aclara"/>
      <sheetName val="Data Input"/>
      <sheetName val="Brad S. Energy"/>
      <sheetName val="Brad S. Demand"/>
      <sheetName val="Brad S. CHECK"/>
      <sheetName val="Idaho - P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thOpRev451_454_456"/>
      <sheetName val="OthRevExp415_416"/>
      <sheetName val="O&amp;M YTD Act"/>
      <sheetName val="PropIns924"/>
      <sheetName val="RegComExp928"/>
      <sheetName val="Depr Amort Exp"/>
      <sheetName val="AmorGain&amp;Loss"/>
      <sheetName val="Reg407.3_407.4"/>
      <sheetName val="Taxes Other"/>
      <sheetName val="IERCO IncStmt"/>
      <sheetName val="AFUDC Hells Canyon"/>
      <sheetName val="EPIS"/>
      <sheetName val="AccDepr"/>
      <sheetName val="AccAmort"/>
      <sheetName val="M&amp;S"/>
      <sheetName val="OthDef"/>
      <sheetName val="CustAdv"/>
      <sheetName val="SubRtbs"/>
      <sheetName val="DedfromO&amp;M 930.1"/>
      <sheetName val="MemCont Ded"/>
      <sheetName val="OfficerExp Ded"/>
      <sheetName val="Other exclusions"/>
    </sheetNames>
    <sheetDataSet>
      <sheetData sheetId="0">
        <row r="3">
          <cell r="A3" t="str">
            <v>For Twelve Months Ended December 31, 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">
          <cell r="A3" t="str">
            <v>For The Thirteen Months Ended December 31, 2025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80"/>
  <sheetViews>
    <sheetView tabSelected="1" zoomScale="90" zoomScaleNormal="90" workbookViewId="0">
      <selection activeCell="C12" sqref="C12"/>
    </sheetView>
  </sheetViews>
  <sheetFormatPr defaultColWidth="9.75" defaultRowHeight="12.75"/>
  <cols>
    <col min="1" max="1" width="6.875" style="1" customWidth="1"/>
    <col min="2" max="2" width="1.125" style="1" customWidth="1"/>
    <col min="3" max="3" width="63" style="1" customWidth="1"/>
    <col min="4" max="4" width="1" style="1" customWidth="1"/>
    <col min="5" max="5" width="17.375" style="1" bestFit="1" customWidth="1"/>
    <col min="6" max="6" width="1.375" style="1" customWidth="1"/>
    <col min="7" max="7" width="18.75" style="1" bestFit="1" customWidth="1"/>
    <col min="8" max="8" width="1.875" style="1" customWidth="1"/>
    <col min="9" max="9" width="17.375" style="1" bestFit="1" customWidth="1"/>
    <col min="10" max="10" width="1.375" style="1" customWidth="1"/>
    <col min="11" max="11" width="10.25" style="1" customWidth="1"/>
    <col min="12" max="12" width="1.75" style="1" customWidth="1"/>
    <col min="13" max="13" width="10" style="1" hidden="1" customWidth="1"/>
    <col min="14" max="14" width="2.125" style="16" hidden="1" customWidth="1"/>
    <col min="15" max="15" width="16.25" style="1" bestFit="1" customWidth="1"/>
    <col min="16" max="16" width="1.25" style="1" customWidth="1"/>
    <col min="17" max="17" width="16.25" style="1" bestFit="1" customWidth="1"/>
    <col min="18" max="18" width="4.75" style="1" customWidth="1"/>
    <col min="19" max="19" width="1.75" style="1" customWidth="1"/>
    <col min="20" max="20" width="17.375" style="1" bestFit="1" customWidth="1"/>
    <col min="21" max="21" width="2.125" style="1" customWidth="1"/>
    <col min="22" max="22" width="12.25" style="1" hidden="1" customWidth="1"/>
    <col min="23" max="23" width="2.125" style="1" hidden="1" customWidth="1"/>
    <col min="24" max="24" width="12.25" style="1" bestFit="1" customWidth="1"/>
    <col min="25" max="25" width="1.75" style="1" customWidth="1"/>
    <col min="26" max="26" width="11.25" style="1" hidden="1" customWidth="1"/>
    <col min="27" max="27" width="2.375" style="1" hidden="1" customWidth="1"/>
    <col min="28" max="28" width="17.375" style="1" bestFit="1" customWidth="1"/>
    <col min="29" max="16384" width="9.75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>
      <c r="A2" s="231" t="s">
        <v>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">
        <v>2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28">
      <c r="A4" s="5"/>
      <c r="B4" s="5"/>
      <c r="C4" s="5"/>
      <c r="D4" s="5"/>
      <c r="E4" s="5"/>
      <c r="F4" s="36"/>
      <c r="G4" s="36"/>
      <c r="H4" s="36"/>
      <c r="I4" s="36"/>
      <c r="J4" s="36"/>
      <c r="K4" s="36"/>
      <c r="L4" s="36"/>
      <c r="M4" s="36"/>
      <c r="N4" s="37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>
      <c r="A5" s="5"/>
      <c r="B5" s="5"/>
      <c r="C5" s="5"/>
      <c r="D5" s="5"/>
      <c r="E5" s="5"/>
      <c r="F5" s="36"/>
      <c r="G5" s="36"/>
      <c r="H5" s="36"/>
      <c r="I5" s="36"/>
      <c r="J5" s="36"/>
      <c r="K5" s="36"/>
      <c r="L5" s="36"/>
      <c r="M5" s="36"/>
      <c r="N5" s="37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7" spans="1:28">
      <c r="A7" s="2">
        <v>-1</v>
      </c>
      <c r="C7" s="2">
        <v>-2</v>
      </c>
      <c r="D7" s="2"/>
      <c r="E7" s="2">
        <v>-3</v>
      </c>
      <c r="F7" s="3"/>
      <c r="G7" s="2">
        <v>-4</v>
      </c>
      <c r="H7" s="2"/>
      <c r="I7" s="2">
        <v>-5</v>
      </c>
      <c r="J7" s="2"/>
      <c r="K7" s="2">
        <v>-6</v>
      </c>
      <c r="L7" s="2"/>
      <c r="M7" s="2">
        <v>-7</v>
      </c>
      <c r="N7" s="2"/>
      <c r="O7" s="2">
        <v>-7</v>
      </c>
      <c r="P7" s="2"/>
      <c r="Q7" s="2">
        <v>-8</v>
      </c>
      <c r="R7" s="2"/>
      <c r="S7" s="2"/>
      <c r="T7" s="2">
        <v>-9</v>
      </c>
      <c r="U7" s="2"/>
      <c r="V7" s="2">
        <v>-11</v>
      </c>
      <c r="X7" s="2">
        <v>-10</v>
      </c>
      <c r="Y7" s="4"/>
      <c r="Z7" s="2">
        <v>-13</v>
      </c>
      <c r="AA7" s="2"/>
      <c r="AB7" s="2">
        <v>-11</v>
      </c>
    </row>
    <row r="8" spans="1:28">
      <c r="E8" s="5"/>
      <c r="F8" s="3"/>
      <c r="G8" s="3"/>
      <c r="H8" s="3"/>
      <c r="I8" s="5"/>
      <c r="J8" s="3"/>
      <c r="K8" s="232" t="s">
        <v>3</v>
      </c>
      <c r="L8" s="232"/>
      <c r="M8" s="232"/>
      <c r="N8" s="232"/>
      <c r="O8" s="232"/>
      <c r="P8" s="6"/>
      <c r="Q8" s="3"/>
      <c r="R8" s="3"/>
      <c r="S8" s="3"/>
      <c r="T8" s="7" t="s">
        <v>4</v>
      </c>
      <c r="U8" s="3"/>
      <c r="V8" s="3"/>
      <c r="W8" s="5"/>
      <c r="X8" s="5"/>
      <c r="Y8" s="5"/>
      <c r="AA8" s="5"/>
    </row>
    <row r="9" spans="1:28" ht="11.25" customHeight="1">
      <c r="A9" s="8" t="s">
        <v>5</v>
      </c>
      <c r="B9" s="8"/>
      <c r="E9" s="5">
        <v>2024</v>
      </c>
      <c r="F9" s="3"/>
      <c r="G9" s="5">
        <v>2024</v>
      </c>
      <c r="H9" s="3"/>
      <c r="I9" s="5">
        <v>2024</v>
      </c>
      <c r="J9" s="6"/>
      <c r="K9" s="5">
        <v>2024</v>
      </c>
      <c r="L9" s="6"/>
      <c r="M9" s="6" t="s">
        <v>6</v>
      </c>
      <c r="N9" s="6"/>
      <c r="O9" s="6"/>
      <c r="P9" s="6"/>
      <c r="Q9" s="6"/>
      <c r="R9" s="6" t="s">
        <v>7</v>
      </c>
      <c r="S9" s="6"/>
      <c r="T9" s="9" t="s">
        <v>8</v>
      </c>
      <c r="U9" s="6"/>
      <c r="V9" s="6"/>
      <c r="W9" s="6"/>
      <c r="X9" s="8"/>
      <c r="Y9" s="5"/>
      <c r="Z9" s="8" t="s">
        <v>9</v>
      </c>
      <c r="AA9" s="8"/>
      <c r="AB9" s="5" t="s">
        <v>4</v>
      </c>
    </row>
    <row r="10" spans="1:28" ht="14.25" customHeight="1">
      <c r="A10" s="10" t="s">
        <v>10</v>
      </c>
      <c r="B10" s="8"/>
      <c r="C10" s="10" t="s">
        <v>11</v>
      </c>
      <c r="D10" s="8"/>
      <c r="E10" s="11" t="s">
        <v>12</v>
      </c>
      <c r="F10" s="3"/>
      <c r="G10" s="12" t="s">
        <v>13</v>
      </c>
      <c r="H10" s="6"/>
      <c r="I10" s="13" t="s">
        <v>14</v>
      </c>
      <c r="J10" s="6"/>
      <c r="K10" s="13" t="s">
        <v>14</v>
      </c>
      <c r="L10" s="6"/>
      <c r="M10" s="13" t="s">
        <v>15</v>
      </c>
      <c r="N10" s="6"/>
      <c r="O10" s="14" t="s">
        <v>16</v>
      </c>
      <c r="P10" s="9"/>
      <c r="Q10" s="13" t="s">
        <v>17</v>
      </c>
      <c r="R10" s="13" t="s">
        <v>10</v>
      </c>
      <c r="S10" s="6"/>
      <c r="T10" s="14" t="s">
        <v>18</v>
      </c>
      <c r="U10" s="6"/>
      <c r="V10" s="13" t="s">
        <v>19</v>
      </c>
      <c r="W10" s="6"/>
      <c r="X10" s="10" t="s">
        <v>20</v>
      </c>
      <c r="Y10" s="8"/>
      <c r="Z10" s="10" t="s">
        <v>21</v>
      </c>
      <c r="AA10" s="8"/>
      <c r="AB10" s="10" t="s">
        <v>18</v>
      </c>
    </row>
    <row r="11" spans="1:28"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>
      <c r="A12" s="8"/>
      <c r="C12" s="26" t="s">
        <v>22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  <c r="R12" s="16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>
      <c r="A13" s="8">
        <f>A12+1</f>
        <v>1</v>
      </c>
      <c r="C13" s="73" t="s">
        <v>23</v>
      </c>
      <c r="E13" s="138">
        <v>6753090.0800000001</v>
      </c>
      <c r="F13" s="15"/>
      <c r="G13" s="24">
        <v>0</v>
      </c>
      <c r="H13" s="15"/>
      <c r="I13" s="15">
        <f>SUM(E13:G13)</f>
        <v>6753090.0800000001</v>
      </c>
      <c r="J13" s="15"/>
      <c r="K13" s="20" t="s">
        <v>24</v>
      </c>
      <c r="L13" s="15"/>
      <c r="M13" s="15"/>
      <c r="N13" s="15"/>
      <c r="O13" s="24">
        <v>0</v>
      </c>
      <c r="P13" s="15"/>
      <c r="Q13" s="24">
        <f>+M13+O13</f>
        <v>0</v>
      </c>
      <c r="R13" s="16"/>
      <c r="S13" s="15"/>
      <c r="T13" s="24">
        <f>+I13+Q13</f>
        <v>6753090.0800000001</v>
      </c>
      <c r="U13" s="15"/>
      <c r="V13" s="15"/>
      <c r="W13" s="15"/>
      <c r="X13" s="24">
        <v>0</v>
      </c>
      <c r="Y13" s="15"/>
      <c r="Z13" s="15"/>
      <c r="AA13" s="15"/>
      <c r="AB13" s="24">
        <f>+T13+V13+X13+Z13</f>
        <v>6753090.0800000001</v>
      </c>
    </row>
    <row r="14" spans="1:28">
      <c r="A14" s="8">
        <f>A13+1</f>
        <v>2</v>
      </c>
      <c r="C14" s="73" t="s">
        <v>25</v>
      </c>
      <c r="E14" s="27">
        <v>85702.95</v>
      </c>
      <c r="F14" s="24"/>
      <c r="G14" s="27">
        <v>0</v>
      </c>
      <c r="H14" s="24"/>
      <c r="I14" s="40">
        <f>SUM(E14:G14)</f>
        <v>85702.95</v>
      </c>
      <c r="J14" s="24"/>
      <c r="K14" s="20" t="s">
        <v>24</v>
      </c>
      <c r="L14" s="24"/>
      <c r="M14" s="27"/>
      <c r="N14" s="24"/>
      <c r="O14" s="27">
        <v>0</v>
      </c>
      <c r="P14" s="24"/>
      <c r="Q14" s="27">
        <f>+M14+O14</f>
        <v>0</v>
      </c>
      <c r="R14" s="24"/>
      <c r="S14" s="24"/>
      <c r="T14" s="27">
        <f>+I14+Q14</f>
        <v>85702.95</v>
      </c>
      <c r="U14" s="24"/>
      <c r="V14" s="27"/>
      <c r="W14" s="24"/>
      <c r="X14" s="27">
        <v>0</v>
      </c>
      <c r="Y14" s="24"/>
      <c r="Z14" s="27"/>
      <c r="AB14" s="27">
        <f>+T14+V14+X14+Z14</f>
        <v>85702.95</v>
      </c>
    </row>
    <row r="15" spans="1:28">
      <c r="A15" s="8">
        <f>A14+1</f>
        <v>3</v>
      </c>
      <c r="B15" s="8"/>
      <c r="C15" s="39" t="s">
        <v>26</v>
      </c>
      <c r="D15" s="17"/>
      <c r="E15" s="27">
        <f>E13+E14</f>
        <v>6838793.0300000003</v>
      </c>
      <c r="F15" s="24"/>
      <c r="G15" s="27">
        <f>G13+G14</f>
        <v>0</v>
      </c>
      <c r="H15" s="24"/>
      <c r="I15" s="27">
        <f>I13+I14</f>
        <v>6838793.0300000003</v>
      </c>
      <c r="J15" s="24"/>
      <c r="K15" s="25"/>
      <c r="L15" s="24"/>
      <c r="M15" s="27">
        <v>0</v>
      </c>
      <c r="N15" s="24"/>
      <c r="O15" s="27">
        <f>O13+O14</f>
        <v>0</v>
      </c>
      <c r="P15" s="24"/>
      <c r="Q15" s="27">
        <f>Q13+Q14</f>
        <v>0</v>
      </c>
      <c r="R15" s="24"/>
      <c r="S15" s="24"/>
      <c r="T15" s="27">
        <f>T13+T14</f>
        <v>6838793.0300000003</v>
      </c>
      <c r="U15" s="24"/>
      <c r="V15" s="27">
        <v>0</v>
      </c>
      <c r="W15" s="24"/>
      <c r="X15" s="27">
        <f>X13+X14</f>
        <v>0</v>
      </c>
      <c r="Y15" s="24"/>
      <c r="Z15" s="27">
        <v>0</v>
      </c>
      <c r="AB15" s="27">
        <f>AB13+AB14</f>
        <v>6838793.0300000003</v>
      </c>
    </row>
    <row r="16" spans="1:28">
      <c r="A16" s="8"/>
      <c r="E16" s="15"/>
      <c r="F16" s="15"/>
      <c r="G16" s="15"/>
      <c r="H16" s="15"/>
      <c r="I16" s="15"/>
      <c r="J16" s="15"/>
      <c r="K16" s="22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B16" s="15"/>
    </row>
    <row r="17" spans="1:28">
      <c r="A17" s="8"/>
      <c r="C17" s="21" t="s">
        <v>27</v>
      </c>
      <c r="D17" s="21"/>
      <c r="E17" s="15"/>
      <c r="F17" s="15"/>
      <c r="G17" s="15"/>
      <c r="H17" s="15"/>
      <c r="I17" s="15"/>
      <c r="J17" s="15"/>
      <c r="K17" s="22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B17" s="15"/>
    </row>
    <row r="18" spans="1:28">
      <c r="A18" s="8"/>
      <c r="E18" s="15"/>
      <c r="F18" s="15"/>
      <c r="G18" s="15"/>
      <c r="H18" s="15"/>
      <c r="I18" s="15"/>
      <c r="J18" s="15"/>
      <c r="K18" s="22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B18" s="15"/>
    </row>
    <row r="19" spans="1:28">
      <c r="A19" s="8">
        <f>A15+1</f>
        <v>4</v>
      </c>
      <c r="B19" s="8"/>
      <c r="C19" s="26" t="s">
        <v>28</v>
      </c>
      <c r="D19" s="17"/>
      <c r="E19" s="24">
        <v>3195122</v>
      </c>
      <c r="F19" s="24"/>
      <c r="G19" s="24">
        <v>0</v>
      </c>
      <c r="H19" s="24"/>
      <c r="I19" s="24">
        <f>SUM(E19:H19)</f>
        <v>3195122</v>
      </c>
      <c r="J19" s="24"/>
      <c r="K19" s="20" t="s">
        <v>24</v>
      </c>
      <c r="L19" s="24"/>
      <c r="M19" s="24">
        <v>0</v>
      </c>
      <c r="N19" s="24"/>
      <c r="O19" s="24">
        <v>0</v>
      </c>
      <c r="P19" s="24"/>
      <c r="Q19" s="24">
        <f>+M19+O19</f>
        <v>0</v>
      </c>
      <c r="R19" s="24"/>
      <c r="S19" s="24"/>
      <c r="T19" s="24">
        <f>+I19+Q19</f>
        <v>3195122</v>
      </c>
      <c r="U19" s="24"/>
      <c r="V19" s="24">
        <v>0</v>
      </c>
      <c r="W19" s="24"/>
      <c r="X19" s="24">
        <v>0</v>
      </c>
      <c r="Y19" s="24"/>
      <c r="Z19" s="24">
        <v>0</v>
      </c>
      <c r="AB19" s="24">
        <f>+T19+V19+X19+Z19</f>
        <v>3195122</v>
      </c>
    </row>
    <row r="20" spans="1:28">
      <c r="A20" s="8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B20" s="24"/>
    </row>
    <row r="21" spans="1:28">
      <c r="A21" s="8">
        <f>A19+1</f>
        <v>5</v>
      </c>
      <c r="B21" s="8"/>
      <c r="C21" s="39" t="s">
        <v>29</v>
      </c>
      <c r="E21" s="24">
        <v>17330</v>
      </c>
      <c r="F21" s="24"/>
      <c r="G21" s="24">
        <v>0</v>
      </c>
      <c r="H21" s="24"/>
      <c r="I21" s="24">
        <f>SUM(E21:H21)</f>
        <v>17330</v>
      </c>
      <c r="J21" s="24"/>
      <c r="K21" s="20" t="s">
        <v>24</v>
      </c>
      <c r="L21" s="24"/>
      <c r="M21" s="24">
        <v>0</v>
      </c>
      <c r="N21" s="24"/>
      <c r="O21" s="24">
        <v>0</v>
      </c>
      <c r="P21" s="24"/>
      <c r="Q21" s="24">
        <f>+M21+O21</f>
        <v>0</v>
      </c>
      <c r="R21" s="24"/>
      <c r="S21" s="24"/>
      <c r="T21" s="24">
        <f>+I21+Q21</f>
        <v>17330</v>
      </c>
      <c r="U21" s="24"/>
      <c r="V21" s="24">
        <v>0</v>
      </c>
      <c r="W21" s="24"/>
      <c r="X21" s="24">
        <v>0</v>
      </c>
      <c r="Y21" s="24"/>
      <c r="Z21" s="24">
        <v>0</v>
      </c>
      <c r="AB21" s="24">
        <f t="shared" ref="AB21:AB47" si="0">+T21+V21+X21+Z21</f>
        <v>17330</v>
      </c>
    </row>
    <row r="22" spans="1:28">
      <c r="A22" s="8"/>
      <c r="E22" s="24"/>
      <c r="F22" s="24"/>
      <c r="G22" s="24"/>
      <c r="H22" s="24"/>
      <c r="I22" s="24"/>
      <c r="J22" s="24"/>
      <c r="K22" s="25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B22" s="24"/>
    </row>
    <row r="23" spans="1:28">
      <c r="A23" s="8"/>
      <c r="B23" s="8"/>
      <c r="C23" s="39" t="s">
        <v>30</v>
      </c>
      <c r="D23" s="21"/>
      <c r="E23" s="24"/>
      <c r="F23" s="24"/>
      <c r="G23" s="24"/>
      <c r="H23" s="24"/>
      <c r="I23" s="24"/>
      <c r="J23" s="24"/>
      <c r="K23" s="139"/>
      <c r="L23" s="24"/>
      <c r="M23" s="24">
        <v>0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B23" s="24"/>
    </row>
    <row r="24" spans="1:28">
      <c r="A24" s="8">
        <f>A21+1</f>
        <v>6</v>
      </c>
      <c r="C24" s="73" t="s">
        <v>23</v>
      </c>
      <c r="E24" s="24">
        <v>1690890.37</v>
      </c>
      <c r="F24" s="24"/>
      <c r="G24" s="24">
        <v>0</v>
      </c>
      <c r="H24" s="24"/>
      <c r="I24" s="24">
        <f>SUM(E24:G24)</f>
        <v>1690890.37</v>
      </c>
      <c r="J24" s="24"/>
      <c r="K24" s="20"/>
      <c r="L24" s="24"/>
      <c r="M24" s="24"/>
      <c r="N24" s="24"/>
      <c r="O24" s="24">
        <v>4824</v>
      </c>
      <c r="P24" s="24"/>
      <c r="Q24" s="24">
        <f>+M24+O24</f>
        <v>4824</v>
      </c>
      <c r="R24" s="24"/>
      <c r="S24" s="24"/>
      <c r="T24" s="24">
        <f>+I24+Q24</f>
        <v>1695714.37</v>
      </c>
      <c r="U24" s="24"/>
      <c r="V24" s="24"/>
      <c r="W24" s="24"/>
      <c r="X24" s="24">
        <v>0</v>
      </c>
      <c r="Y24" s="24"/>
      <c r="Z24" s="24"/>
      <c r="AA24" s="24"/>
      <c r="AB24" s="24">
        <f>+T24+V24+X24+Z24</f>
        <v>1695714.37</v>
      </c>
    </row>
    <row r="25" spans="1:28">
      <c r="A25" s="8">
        <f>A24+1</f>
        <v>7</v>
      </c>
      <c r="C25" s="73" t="s">
        <v>25</v>
      </c>
      <c r="E25" s="27">
        <v>284183.21000000002</v>
      </c>
      <c r="F25" s="24"/>
      <c r="G25" s="27">
        <v>0</v>
      </c>
      <c r="H25" s="24"/>
      <c r="I25" s="40">
        <f>SUM(E25:G25)</f>
        <v>284183.21000000002</v>
      </c>
      <c r="J25" s="24"/>
      <c r="K25" s="20" t="s">
        <v>24</v>
      </c>
      <c r="L25" s="24"/>
      <c r="M25" s="27"/>
      <c r="N25" s="24"/>
      <c r="O25" s="27">
        <v>0</v>
      </c>
      <c r="P25" s="24"/>
      <c r="Q25" s="27">
        <f>+M25+O25</f>
        <v>0</v>
      </c>
      <c r="R25" s="24"/>
      <c r="S25" s="24"/>
      <c r="T25" s="27">
        <f>+I25+Q25</f>
        <v>284183.21000000002</v>
      </c>
      <c r="U25" s="24"/>
      <c r="V25" s="27"/>
      <c r="W25" s="24"/>
      <c r="X25" s="27">
        <v>0</v>
      </c>
      <c r="Y25" s="24"/>
      <c r="Z25" s="27"/>
      <c r="AB25" s="27">
        <f>+T25+V25+X25+Z25</f>
        <v>284183.21000000002</v>
      </c>
    </row>
    <row r="26" spans="1:28">
      <c r="A26" s="8">
        <f>A25+1</f>
        <v>8</v>
      </c>
      <c r="B26" s="8"/>
      <c r="C26" s="39" t="s">
        <v>31</v>
      </c>
      <c r="D26" s="21"/>
      <c r="E26" s="24">
        <f>E24+E25</f>
        <v>1975073.58</v>
      </c>
      <c r="F26" s="24"/>
      <c r="G26" s="24">
        <f>G24+G25</f>
        <v>0</v>
      </c>
      <c r="H26" s="24"/>
      <c r="I26" s="24">
        <f>I24+I25</f>
        <v>1975073.58</v>
      </c>
      <c r="J26" s="24"/>
      <c r="K26" s="25"/>
      <c r="L26" s="24"/>
      <c r="M26" s="24">
        <v>0</v>
      </c>
      <c r="N26" s="24"/>
      <c r="O26" s="24">
        <f>O24+O25</f>
        <v>4824</v>
      </c>
      <c r="P26" s="24"/>
      <c r="Q26" s="24">
        <f>Q24+Q25</f>
        <v>4824</v>
      </c>
      <c r="R26" s="24"/>
      <c r="S26" s="24"/>
      <c r="T26" s="24">
        <f>T24+T25</f>
        <v>1979897.58</v>
      </c>
      <c r="U26" s="24"/>
      <c r="V26" s="24">
        <v>0</v>
      </c>
      <c r="W26" s="24"/>
      <c r="X26" s="24">
        <f>X24+X25</f>
        <v>0</v>
      </c>
      <c r="Y26" s="24"/>
      <c r="Z26" s="24">
        <v>0</v>
      </c>
      <c r="AB26" s="24">
        <f>AB24+AB25</f>
        <v>1979897.58</v>
      </c>
    </row>
    <row r="27" spans="1:28">
      <c r="A27" s="8"/>
      <c r="E27" s="24"/>
      <c r="F27" s="24"/>
      <c r="G27" s="24"/>
      <c r="H27" s="24"/>
      <c r="I27" s="24"/>
      <c r="J27" s="24"/>
      <c r="K27" s="2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B27" s="24"/>
    </row>
    <row r="28" spans="1:28">
      <c r="A28" s="8"/>
      <c r="B28" s="8"/>
      <c r="C28" s="26" t="s">
        <v>32</v>
      </c>
      <c r="D28" s="17"/>
      <c r="E28" s="24"/>
      <c r="F28" s="24"/>
      <c r="G28" s="24"/>
      <c r="H28" s="24"/>
      <c r="I28" s="24"/>
      <c r="J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B28" s="24"/>
    </row>
    <row r="29" spans="1:28">
      <c r="A29" s="8">
        <f>A26+1</f>
        <v>9</v>
      </c>
      <c r="C29" s="73" t="s">
        <v>23</v>
      </c>
      <c r="D29" s="36"/>
      <c r="E29" s="24">
        <v>394597.77</v>
      </c>
      <c r="F29" s="24"/>
      <c r="G29" s="24">
        <v>0</v>
      </c>
      <c r="H29" s="24"/>
      <c r="I29" s="24">
        <f>SUM(E29:G29)</f>
        <v>394597.77</v>
      </c>
      <c r="J29" s="24"/>
      <c r="K29" s="20" t="s">
        <v>24</v>
      </c>
      <c r="L29" s="24"/>
      <c r="M29" s="24"/>
      <c r="N29" s="24"/>
      <c r="O29" s="24">
        <v>0</v>
      </c>
      <c r="P29" s="24"/>
      <c r="Q29" s="24">
        <f>+M29+O29</f>
        <v>0</v>
      </c>
      <c r="R29" s="24"/>
      <c r="S29" s="24"/>
      <c r="T29" s="24">
        <f>+I29+Q29</f>
        <v>394597.77</v>
      </c>
      <c r="U29" s="24"/>
      <c r="V29" s="24"/>
      <c r="W29" s="24"/>
      <c r="X29" s="24">
        <v>0</v>
      </c>
      <c r="Y29" s="24"/>
      <c r="Z29" s="24"/>
      <c r="AA29" s="24"/>
      <c r="AB29" s="24">
        <f>+T29+V29+X29+Z29</f>
        <v>394597.77</v>
      </c>
    </row>
    <row r="30" spans="1:28">
      <c r="A30" s="8">
        <f>A29+1</f>
        <v>10</v>
      </c>
      <c r="C30" s="73" t="s">
        <v>25</v>
      </c>
      <c r="D30" s="36"/>
      <c r="E30" s="27">
        <v>39316.300000000003</v>
      </c>
      <c r="F30" s="24"/>
      <c r="G30" s="27">
        <v>0</v>
      </c>
      <c r="H30" s="24"/>
      <c r="I30" s="40">
        <f>SUM(E30:G30)</f>
        <v>39316.300000000003</v>
      </c>
      <c r="J30" s="24"/>
      <c r="K30" s="20" t="s">
        <v>24</v>
      </c>
      <c r="L30" s="24"/>
      <c r="M30" s="27"/>
      <c r="N30" s="24"/>
      <c r="O30" s="27">
        <v>0</v>
      </c>
      <c r="P30" s="24"/>
      <c r="Q30" s="27">
        <f>+M30+O30</f>
        <v>0</v>
      </c>
      <c r="R30" s="24"/>
      <c r="S30" s="24"/>
      <c r="T30" s="27">
        <f>+I30+Q30</f>
        <v>39316.300000000003</v>
      </c>
      <c r="U30" s="24"/>
      <c r="V30" s="27"/>
      <c r="W30" s="24"/>
      <c r="X30" s="27">
        <v>0</v>
      </c>
      <c r="Y30" s="24"/>
      <c r="Z30" s="27"/>
      <c r="AB30" s="27">
        <f>+T30+V30+X30+Z30</f>
        <v>39316.300000000003</v>
      </c>
    </row>
    <row r="31" spans="1:28">
      <c r="A31" s="8">
        <f>A30+1</f>
        <v>11</v>
      </c>
      <c r="B31" s="8"/>
      <c r="C31" s="39" t="s">
        <v>33</v>
      </c>
      <c r="D31" s="17"/>
      <c r="E31" s="24">
        <f>E29+E30</f>
        <v>433914.07</v>
      </c>
      <c r="F31" s="24"/>
      <c r="G31" s="24">
        <f>G29+G30</f>
        <v>0</v>
      </c>
      <c r="H31" s="24"/>
      <c r="I31" s="24">
        <f>I29+I30</f>
        <v>433914.07</v>
      </c>
      <c r="J31" s="24"/>
      <c r="K31" s="25"/>
      <c r="L31" s="24"/>
      <c r="M31" s="24">
        <v>0</v>
      </c>
      <c r="N31" s="24"/>
      <c r="O31" s="24">
        <f>O29+O30</f>
        <v>0</v>
      </c>
      <c r="P31" s="24"/>
      <c r="Q31" s="24">
        <f>Q29+Q30</f>
        <v>0</v>
      </c>
      <c r="R31" s="24"/>
      <c r="S31" s="24"/>
      <c r="T31" s="24">
        <f>T29+T30</f>
        <v>433914.07</v>
      </c>
      <c r="U31" s="24"/>
      <c r="V31" s="24">
        <v>0</v>
      </c>
      <c r="W31" s="24"/>
      <c r="X31" s="24">
        <f>X29+X30</f>
        <v>0</v>
      </c>
      <c r="Y31" s="24"/>
      <c r="Z31" s="24">
        <v>0</v>
      </c>
      <c r="AB31" s="24">
        <f>AB29+AB30</f>
        <v>433914.07</v>
      </c>
    </row>
    <row r="32" spans="1:28">
      <c r="A32" s="8"/>
      <c r="B32" s="8"/>
      <c r="C32" s="17"/>
      <c r="D32" s="17"/>
      <c r="E32" s="24"/>
      <c r="F32" s="34"/>
      <c r="G32" s="24"/>
      <c r="H32" s="24"/>
      <c r="I32" s="24"/>
      <c r="J32" s="34"/>
      <c r="K32" s="25"/>
      <c r="L32" s="24"/>
      <c r="M32" s="24"/>
      <c r="N32" s="34"/>
      <c r="O32" s="24"/>
      <c r="P32" s="24"/>
      <c r="Q32" s="24"/>
      <c r="R32" s="24"/>
      <c r="S32" s="34"/>
      <c r="T32" s="24"/>
      <c r="U32" s="34"/>
      <c r="V32" s="24"/>
      <c r="W32" s="34"/>
      <c r="X32" s="24"/>
      <c r="Y32" s="24"/>
      <c r="Z32" s="24"/>
      <c r="AB32" s="24"/>
    </row>
    <row r="33" spans="1:28">
      <c r="A33" s="8"/>
      <c r="B33" s="8"/>
      <c r="C33" s="26" t="s">
        <v>34</v>
      </c>
      <c r="D33" s="17"/>
      <c r="E33" s="24"/>
      <c r="F33" s="24"/>
      <c r="G33" s="24"/>
      <c r="H33" s="24"/>
      <c r="I33" s="24"/>
      <c r="J33" s="24"/>
      <c r="K33" s="20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B33" s="24"/>
    </row>
    <row r="34" spans="1:28">
      <c r="A34" s="8">
        <f>A31+1</f>
        <v>12</v>
      </c>
      <c r="C34" s="73" t="s">
        <v>23</v>
      </c>
      <c r="D34" s="36"/>
      <c r="E34" s="24">
        <v>1755568.38</v>
      </c>
      <c r="F34" s="24"/>
      <c r="G34" s="24">
        <v>0</v>
      </c>
      <c r="H34" s="24"/>
      <c r="I34" s="24">
        <f>SUM(E34:G34)</f>
        <v>1755568.38</v>
      </c>
      <c r="J34" s="24"/>
      <c r="K34" s="20" t="s">
        <v>24</v>
      </c>
      <c r="L34" s="24"/>
      <c r="M34" s="24"/>
      <c r="N34" s="24"/>
      <c r="O34" s="24">
        <v>0</v>
      </c>
      <c r="P34" s="24"/>
      <c r="Q34" s="24">
        <f>+M34+O34</f>
        <v>0</v>
      </c>
      <c r="R34" s="24"/>
      <c r="S34" s="24"/>
      <c r="T34" s="24">
        <f>+I34+Q34</f>
        <v>1755568.38</v>
      </c>
      <c r="U34" s="24"/>
      <c r="V34" s="24"/>
      <c r="W34" s="24"/>
      <c r="X34" s="24">
        <v>0</v>
      </c>
      <c r="Y34" s="24"/>
      <c r="Z34" s="24"/>
      <c r="AA34" s="24"/>
      <c r="AB34" s="24">
        <f>+T34+V34+X34+Z34</f>
        <v>1755568.38</v>
      </c>
    </row>
    <row r="35" spans="1:28">
      <c r="A35" s="8">
        <f>A34+1</f>
        <v>13</v>
      </c>
      <c r="C35" s="73" t="s">
        <v>25</v>
      </c>
      <c r="D35" s="36"/>
      <c r="E35" s="27">
        <v>44983.72</v>
      </c>
      <c r="F35" s="24"/>
      <c r="G35" s="27">
        <v>0</v>
      </c>
      <c r="H35" s="24"/>
      <c r="I35" s="40">
        <f>SUM(E35:G35)</f>
        <v>44983.72</v>
      </c>
      <c r="J35" s="24"/>
      <c r="K35" s="20" t="s">
        <v>24</v>
      </c>
      <c r="L35" s="24"/>
      <c r="M35" s="27"/>
      <c r="N35" s="24"/>
      <c r="O35" s="27">
        <v>0</v>
      </c>
      <c r="P35" s="24"/>
      <c r="Q35" s="27">
        <f>+M35+O35</f>
        <v>0</v>
      </c>
      <c r="R35" s="24"/>
      <c r="S35" s="24"/>
      <c r="T35" s="27">
        <f>+I35+Q35</f>
        <v>44983.72</v>
      </c>
      <c r="U35" s="24"/>
      <c r="V35" s="27"/>
      <c r="W35" s="24"/>
      <c r="X35" s="27">
        <v>0</v>
      </c>
      <c r="Y35" s="24"/>
      <c r="Z35" s="27"/>
      <c r="AB35" s="27">
        <f>+T35+V35+X35+Z35</f>
        <v>44983.72</v>
      </c>
    </row>
    <row r="36" spans="1:28">
      <c r="A36" s="8">
        <f>A35+1</f>
        <v>14</v>
      </c>
      <c r="B36" s="8"/>
      <c r="C36" s="39" t="s">
        <v>35</v>
      </c>
      <c r="D36" s="17"/>
      <c r="E36" s="24">
        <f>E34+E35</f>
        <v>1800552.0999999999</v>
      </c>
      <c r="F36" s="24"/>
      <c r="G36" s="24">
        <f>G34+G35</f>
        <v>0</v>
      </c>
      <c r="H36" s="24"/>
      <c r="I36" s="24">
        <f>I34+I35</f>
        <v>1800552.0999999999</v>
      </c>
      <c r="J36" s="24"/>
      <c r="K36" s="25"/>
      <c r="L36" s="24"/>
      <c r="M36" s="24">
        <v>0</v>
      </c>
      <c r="N36" s="24"/>
      <c r="O36" s="24">
        <f>O34+O35</f>
        <v>0</v>
      </c>
      <c r="P36" s="24"/>
      <c r="Q36" s="24">
        <f>Q34+Q35</f>
        <v>0</v>
      </c>
      <c r="R36" s="24"/>
      <c r="S36" s="24"/>
      <c r="T36" s="24">
        <f>T34+T35</f>
        <v>1800552.0999999999</v>
      </c>
      <c r="U36" s="24"/>
      <c r="V36" s="24">
        <v>0</v>
      </c>
      <c r="W36" s="24"/>
      <c r="X36" s="24">
        <f>X34+X35</f>
        <v>0</v>
      </c>
      <c r="Y36" s="24"/>
      <c r="Z36" s="24">
        <v>0</v>
      </c>
      <c r="AB36" s="24">
        <f>AB34+AB35</f>
        <v>1800552.0999999999</v>
      </c>
    </row>
    <row r="37" spans="1:28">
      <c r="A37" s="8"/>
      <c r="B37" s="8"/>
      <c r="C37" s="17"/>
      <c r="D37" s="17"/>
      <c r="E37" s="24"/>
      <c r="F37" s="34"/>
      <c r="G37" s="24"/>
      <c r="H37" s="24"/>
      <c r="I37" s="24"/>
      <c r="J37" s="34"/>
      <c r="K37" s="25"/>
      <c r="L37" s="24"/>
      <c r="M37" s="24"/>
      <c r="N37" s="34"/>
      <c r="O37" s="24"/>
      <c r="P37" s="24"/>
      <c r="Q37" s="24"/>
      <c r="R37" s="24"/>
      <c r="S37" s="34"/>
      <c r="T37" s="24"/>
      <c r="U37" s="34"/>
      <c r="V37" s="24"/>
      <c r="W37" s="34"/>
      <c r="X37" s="24"/>
      <c r="Y37" s="24"/>
      <c r="Z37" s="24"/>
      <c r="AB37" s="24"/>
    </row>
    <row r="38" spans="1:28">
      <c r="A38" s="8"/>
      <c r="B38" s="8"/>
      <c r="C38" s="26" t="s">
        <v>36</v>
      </c>
      <c r="D38" s="17"/>
      <c r="E38" s="24"/>
      <c r="F38" s="24"/>
      <c r="G38" s="24"/>
      <c r="H38" s="24"/>
      <c r="I38" s="24"/>
      <c r="J38" s="24"/>
      <c r="K38" s="20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B38" s="24"/>
    </row>
    <row r="39" spans="1:28">
      <c r="A39" s="8">
        <f>A36+1</f>
        <v>15</v>
      </c>
      <c r="C39" s="73" t="s">
        <v>23</v>
      </c>
      <c r="D39" s="36"/>
      <c r="E39" s="24">
        <v>10583594.15</v>
      </c>
      <c r="F39" s="24"/>
      <c r="G39" s="24">
        <v>0</v>
      </c>
      <c r="H39" s="24"/>
      <c r="I39" s="24">
        <f>SUM(E39:G39)</f>
        <v>10583594.15</v>
      </c>
      <c r="J39" s="24"/>
      <c r="K39" s="20"/>
      <c r="L39" s="24"/>
      <c r="M39" s="24"/>
      <c r="N39" s="24"/>
      <c r="O39" s="24">
        <v>545415</v>
      </c>
      <c r="P39" s="24"/>
      <c r="Q39" s="24">
        <f>+M39+O39</f>
        <v>545415</v>
      </c>
      <c r="R39" s="24"/>
      <c r="S39" s="24"/>
      <c r="T39" s="24">
        <f>+I39+Q39</f>
        <v>11129009.15</v>
      </c>
      <c r="U39" s="24"/>
      <c r="V39" s="24"/>
      <c r="W39" s="24"/>
      <c r="X39" s="24">
        <v>0</v>
      </c>
      <c r="Y39" s="24"/>
      <c r="Z39" s="24"/>
      <c r="AA39" s="24"/>
      <c r="AB39" s="24">
        <f>+T39+V39+X39+Z39</f>
        <v>11129009.15</v>
      </c>
    </row>
    <row r="40" spans="1:28">
      <c r="A40" s="8">
        <f>A39+1</f>
        <v>16</v>
      </c>
      <c r="C40" s="73" t="s">
        <v>25</v>
      </c>
      <c r="D40" s="36"/>
      <c r="E40" s="27">
        <v>449198.88</v>
      </c>
      <c r="F40" s="24"/>
      <c r="G40" s="27">
        <v>0</v>
      </c>
      <c r="H40" s="24"/>
      <c r="I40" s="40">
        <f>SUM(E40:G40)</f>
        <v>449198.88</v>
      </c>
      <c r="J40" s="24"/>
      <c r="K40" s="20" t="s">
        <v>24</v>
      </c>
      <c r="L40" s="24"/>
      <c r="M40" s="27"/>
      <c r="N40" s="24"/>
      <c r="O40" s="27">
        <v>0</v>
      </c>
      <c r="P40" s="24"/>
      <c r="Q40" s="27">
        <f>+M40+O40</f>
        <v>0</v>
      </c>
      <c r="R40" s="24"/>
      <c r="S40" s="24"/>
      <c r="T40" s="27">
        <f>+I40+Q40</f>
        <v>449198.88</v>
      </c>
      <c r="U40" s="24"/>
      <c r="V40" s="27"/>
      <c r="W40" s="24"/>
      <c r="X40" s="27">
        <v>0</v>
      </c>
      <c r="Y40" s="24"/>
      <c r="Z40" s="27"/>
      <c r="AB40" s="27">
        <f>+T40+V40+X40+Z40</f>
        <v>449198.88</v>
      </c>
    </row>
    <row r="41" spans="1:28">
      <c r="A41" s="8">
        <f>A40+1</f>
        <v>17</v>
      </c>
      <c r="B41" s="8"/>
      <c r="C41" s="39" t="s">
        <v>37</v>
      </c>
      <c r="D41" s="17"/>
      <c r="E41" s="24">
        <f>E39+E40</f>
        <v>11032793.030000001</v>
      </c>
      <c r="F41" s="24"/>
      <c r="G41" s="24">
        <f>G39+G40</f>
        <v>0</v>
      </c>
      <c r="H41" s="24"/>
      <c r="I41" s="24">
        <f>I39+I40</f>
        <v>11032793.030000001</v>
      </c>
      <c r="J41" s="24"/>
      <c r="K41" s="25"/>
      <c r="L41" s="24"/>
      <c r="M41" s="24">
        <v>0</v>
      </c>
      <c r="N41" s="24"/>
      <c r="O41" s="24">
        <f>O39+O40</f>
        <v>545415</v>
      </c>
      <c r="P41" s="24"/>
      <c r="Q41" s="24">
        <f>Q39+Q40</f>
        <v>545415</v>
      </c>
      <c r="R41" s="24"/>
      <c r="S41" s="24"/>
      <c r="T41" s="24">
        <f>T39+T40</f>
        <v>11578208.030000001</v>
      </c>
      <c r="U41" s="24"/>
      <c r="V41" s="24">
        <v>0</v>
      </c>
      <c r="W41" s="24"/>
      <c r="X41" s="24">
        <f>X39+X40</f>
        <v>0</v>
      </c>
      <c r="Y41" s="24"/>
      <c r="Z41" s="24">
        <v>0</v>
      </c>
      <c r="AB41" s="24">
        <f>AB39+AB40</f>
        <v>11578208.030000001</v>
      </c>
    </row>
    <row r="42" spans="1:28">
      <c r="A42" s="8"/>
      <c r="E42" s="24"/>
      <c r="F42" s="24"/>
      <c r="G42" s="24"/>
      <c r="H42" s="24"/>
      <c r="I42" s="24"/>
      <c r="J42" s="24"/>
      <c r="K42" s="25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B42" s="24"/>
    </row>
    <row r="43" spans="1:28">
      <c r="A43" s="8">
        <f>A41+1</f>
        <v>18</v>
      </c>
      <c r="B43" s="8"/>
      <c r="C43" s="26" t="s">
        <v>38</v>
      </c>
      <c r="D43" s="17"/>
      <c r="E43" s="24">
        <v>921471.11</v>
      </c>
      <c r="F43" s="24"/>
      <c r="G43" s="24">
        <v>0</v>
      </c>
      <c r="H43" s="24"/>
      <c r="I43" s="24">
        <f>SUM(E43:H43)</f>
        <v>921471.11</v>
      </c>
      <c r="J43" s="24"/>
      <c r="K43" s="20" t="s">
        <v>24</v>
      </c>
      <c r="L43" s="24"/>
      <c r="M43" s="24">
        <v>0</v>
      </c>
      <c r="N43" s="24"/>
      <c r="O43" s="24">
        <v>0</v>
      </c>
      <c r="P43" s="24"/>
      <c r="Q43" s="24">
        <f>+M43+O43</f>
        <v>0</v>
      </c>
      <c r="R43" s="24"/>
      <c r="S43" s="24"/>
      <c r="T43" s="24">
        <f>+I43+Q43</f>
        <v>921471.11</v>
      </c>
      <c r="U43" s="24"/>
      <c r="V43" s="24">
        <v>0</v>
      </c>
      <c r="W43" s="24"/>
      <c r="X43" s="24">
        <v>0</v>
      </c>
      <c r="Y43" s="24"/>
      <c r="Z43" s="24">
        <v>0</v>
      </c>
      <c r="AB43" s="24">
        <f t="shared" si="0"/>
        <v>921471.11</v>
      </c>
    </row>
    <row r="44" spans="1:28">
      <c r="A44" s="8"/>
      <c r="B44" s="8"/>
      <c r="C44" s="26"/>
      <c r="D44" s="17"/>
      <c r="E44" s="24"/>
      <c r="F44" s="24"/>
      <c r="G44" s="24"/>
      <c r="H44" s="24"/>
      <c r="I44" s="24"/>
      <c r="J44" s="24"/>
      <c r="K44" s="20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B44" s="24"/>
    </row>
    <row r="45" spans="1:28">
      <c r="A45" s="8">
        <f>A43+1</f>
        <v>19</v>
      </c>
      <c r="B45" s="8"/>
      <c r="C45" s="26" t="s">
        <v>39</v>
      </c>
      <c r="D45" s="17"/>
      <c r="E45" s="24">
        <v>96110.38</v>
      </c>
      <c r="F45" s="24"/>
      <c r="G45" s="24">
        <v>0</v>
      </c>
      <c r="H45" s="24"/>
      <c r="I45" s="24">
        <f t="shared" ref="I45" si="1">SUM(E45:H45)</f>
        <v>96110.38</v>
      </c>
      <c r="J45" s="24"/>
      <c r="K45" s="20"/>
      <c r="L45" s="24"/>
      <c r="M45" s="24"/>
      <c r="N45" s="24"/>
      <c r="O45" s="24">
        <v>-8745</v>
      </c>
      <c r="P45" s="24"/>
      <c r="Q45" s="24">
        <f t="shared" ref="Q45" si="2">+M45+O45</f>
        <v>-8745</v>
      </c>
      <c r="R45" s="24"/>
      <c r="S45" s="24"/>
      <c r="T45" s="24">
        <f t="shared" ref="T45" si="3">+I45+Q45</f>
        <v>87365.38</v>
      </c>
      <c r="U45" s="24"/>
      <c r="V45" s="24"/>
      <c r="W45" s="24"/>
      <c r="X45" s="24">
        <v>0</v>
      </c>
      <c r="Y45" s="24"/>
      <c r="Z45" s="24"/>
      <c r="AB45" s="24">
        <f t="shared" si="0"/>
        <v>87365.38</v>
      </c>
    </row>
    <row r="46" spans="1:28">
      <c r="A46" s="8"/>
      <c r="B46" s="8"/>
      <c r="C46" s="26"/>
      <c r="D46" s="17"/>
      <c r="E46" s="24"/>
      <c r="F46" s="24"/>
      <c r="G46" s="24"/>
      <c r="H46" s="24"/>
      <c r="I46" s="24"/>
      <c r="J46" s="24"/>
      <c r="K46" s="25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B46" s="24"/>
    </row>
    <row r="47" spans="1:28">
      <c r="A47" s="8">
        <f>A45+1</f>
        <v>20</v>
      </c>
      <c r="B47" s="8"/>
      <c r="C47" s="26" t="s">
        <v>40</v>
      </c>
      <c r="D47" s="17"/>
      <c r="E47" s="27">
        <v>0</v>
      </c>
      <c r="F47" s="24"/>
      <c r="G47" s="27">
        <v>0</v>
      </c>
      <c r="H47" s="24"/>
      <c r="I47" s="27">
        <f>SUM(E47:H47)</f>
        <v>0</v>
      </c>
      <c r="J47" s="24"/>
      <c r="K47" s="20"/>
      <c r="L47" s="24"/>
      <c r="M47" s="27">
        <v>0</v>
      </c>
      <c r="N47" s="24"/>
      <c r="O47" s="27">
        <v>0</v>
      </c>
      <c r="P47" s="24"/>
      <c r="Q47" s="27">
        <f>+M47+O47</f>
        <v>0</v>
      </c>
      <c r="R47" s="24"/>
      <c r="S47" s="24"/>
      <c r="T47" s="27">
        <f>+I47+Q47</f>
        <v>0</v>
      </c>
      <c r="U47" s="24"/>
      <c r="V47" s="27">
        <v>0</v>
      </c>
      <c r="W47" s="24"/>
      <c r="X47" s="27">
        <v>0</v>
      </c>
      <c r="Y47" s="24"/>
      <c r="Z47" s="27">
        <v>0</v>
      </c>
      <c r="AB47" s="27">
        <f t="shared" si="0"/>
        <v>0</v>
      </c>
    </row>
    <row r="48" spans="1:28">
      <c r="A48" s="8"/>
      <c r="E48" s="24"/>
      <c r="F48" s="24"/>
      <c r="G48" s="24"/>
      <c r="H48" s="24"/>
      <c r="I48" s="24"/>
      <c r="J48" s="24"/>
      <c r="K48" s="25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B48" s="24"/>
    </row>
    <row r="49" spans="1:28">
      <c r="A49" s="8">
        <f>A47+1</f>
        <v>21</v>
      </c>
      <c r="B49" s="8"/>
      <c r="C49" s="39" t="s">
        <v>41</v>
      </c>
      <c r="D49" s="21"/>
      <c r="E49" s="27">
        <f>E19+E21+E26+E31+E36+E41+E43+E45+E47</f>
        <v>19472366.27</v>
      </c>
      <c r="F49" s="24"/>
      <c r="G49" s="27">
        <f>G19+G21+G26+G31+G36+G41+G43+G45+G47</f>
        <v>0</v>
      </c>
      <c r="H49" s="24"/>
      <c r="I49" s="27">
        <f>I19+I21+I26+I31+I36+I41+I43+I45+I47</f>
        <v>19472366.27</v>
      </c>
      <c r="J49" s="24"/>
      <c r="K49" s="20"/>
      <c r="L49" s="24"/>
      <c r="M49" s="27" t="e">
        <f>M19+M21+#REF!+M26+M31+#REF!+M36+M41+M43+M45+M47</f>
        <v>#REF!</v>
      </c>
      <c r="N49" s="27" t="e">
        <f>N19+N21+#REF!+N26+N31+#REF!+N36+N41+N43+N45+N47</f>
        <v>#REF!</v>
      </c>
      <c r="O49" s="27">
        <f>O19+O21+O26+O31+O36+O41+O43+O45+O47</f>
        <v>541494</v>
      </c>
      <c r="P49" s="24"/>
      <c r="Q49" s="27">
        <f>Q19+Q21+Q26+Q31+Q36+Q41+Q43+Q45+Q47</f>
        <v>541494</v>
      </c>
      <c r="R49" s="24"/>
      <c r="S49" s="24"/>
      <c r="T49" s="27">
        <f>T19+T21+T26+T31+T36+T41+T43+T45+T47</f>
        <v>20013860.27</v>
      </c>
      <c r="U49" s="24"/>
      <c r="V49" s="27" t="e">
        <f>V19+V21+#REF!+V26+V31+#REF!+V36+V41+V43+V45+V47</f>
        <v>#REF!</v>
      </c>
      <c r="W49" s="27" t="e">
        <f>W19+W21+#REF!+W26+W31+#REF!+W36+W41+W43+W45+W47</f>
        <v>#REF!</v>
      </c>
      <c r="X49" s="27">
        <f>X19+X21+X26+X31+X36+X41+X43+X45+X47</f>
        <v>0</v>
      </c>
      <c r="Y49" s="24"/>
      <c r="Z49" s="27" t="e">
        <f>Z19+Z21+#REF!+Z26+Z31+#REF!+Z36+Z41+Z43+Z45+Z47</f>
        <v>#REF!</v>
      </c>
      <c r="AA49" s="27" t="e">
        <f>AA19+AA21+#REF!+AA26+AA31+#REF!+AA36+AA41+AA43+AA45+AA47</f>
        <v>#REF!</v>
      </c>
      <c r="AB49" s="27">
        <f>AB19+AB21+AB26+AB31+AB36+AB41+AB43+AB45+AB47</f>
        <v>20013860.27</v>
      </c>
    </row>
    <row r="50" spans="1:28">
      <c r="A50" s="8"/>
      <c r="E50" s="24"/>
      <c r="F50" s="24"/>
      <c r="G50" s="24"/>
      <c r="H50" s="24"/>
      <c r="I50" s="24"/>
      <c r="J50" s="24"/>
      <c r="K50" s="25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B50" s="24"/>
    </row>
    <row r="51" spans="1:28">
      <c r="A51" s="8"/>
      <c r="E51" s="24"/>
      <c r="F51" s="24"/>
      <c r="G51" s="24"/>
      <c r="H51" s="24"/>
      <c r="I51" s="24"/>
      <c r="J51" s="24"/>
      <c r="K51" s="25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B51" s="24"/>
    </row>
    <row r="52" spans="1:28">
      <c r="A52" s="8"/>
      <c r="C52" s="21" t="s">
        <v>42</v>
      </c>
      <c r="D52" s="21"/>
      <c r="E52" s="24"/>
      <c r="F52" s="24"/>
      <c r="G52" s="24"/>
      <c r="H52" s="24"/>
      <c r="I52" s="24"/>
      <c r="J52" s="24"/>
      <c r="K52" s="25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B52" s="24"/>
    </row>
    <row r="53" spans="1:28">
      <c r="A53" s="8"/>
      <c r="E53" s="24"/>
      <c r="F53" s="24"/>
      <c r="G53" s="24"/>
      <c r="H53" s="24"/>
      <c r="I53" s="24"/>
      <c r="J53" s="24"/>
      <c r="K53" s="25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B53" s="24"/>
    </row>
    <row r="54" spans="1:28">
      <c r="A54" s="8">
        <f>A49+1</f>
        <v>22</v>
      </c>
      <c r="B54" s="17"/>
      <c r="C54" s="26" t="s">
        <v>43</v>
      </c>
      <c r="D54" s="21"/>
      <c r="E54" s="24">
        <v>11487773.23</v>
      </c>
      <c r="F54" s="24"/>
      <c r="G54" s="24">
        <v>0</v>
      </c>
      <c r="H54" s="24"/>
      <c r="I54" s="24">
        <f>+E54+G54</f>
        <v>11487773.23</v>
      </c>
      <c r="J54" s="24"/>
      <c r="K54" s="20"/>
      <c r="L54" s="24"/>
      <c r="M54" s="24">
        <v>0</v>
      </c>
      <c r="N54" s="24"/>
      <c r="O54" s="24">
        <v>275765</v>
      </c>
      <c r="P54" s="24"/>
      <c r="Q54" s="24">
        <f>+M54+O54</f>
        <v>275765</v>
      </c>
      <c r="R54" s="24"/>
      <c r="S54" s="24"/>
      <c r="T54" s="24">
        <f>+I54+Q54</f>
        <v>11763538.23</v>
      </c>
      <c r="U54" s="24"/>
      <c r="V54" s="24">
        <v>0</v>
      </c>
      <c r="W54" s="24"/>
      <c r="X54" s="24">
        <v>0</v>
      </c>
      <c r="Y54" s="24"/>
      <c r="Z54" s="24">
        <v>0</v>
      </c>
      <c r="AB54" s="24">
        <f>+T54+V54+X54+Z54</f>
        <v>11763538.23</v>
      </c>
    </row>
    <row r="55" spans="1:28">
      <c r="A55" s="8"/>
      <c r="C55" s="26"/>
      <c r="E55" s="24"/>
      <c r="F55" s="24"/>
      <c r="G55" s="24"/>
      <c r="H55" s="24"/>
      <c r="I55" s="24"/>
      <c r="J55" s="24"/>
      <c r="K55" s="25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B55" s="24"/>
    </row>
    <row r="56" spans="1:28">
      <c r="A56" s="8">
        <f>A54+1</f>
        <v>23</v>
      </c>
      <c r="B56" s="8"/>
      <c r="C56" s="26" t="s">
        <v>44</v>
      </c>
      <c r="D56" s="17"/>
      <c r="E56" s="24">
        <v>55863562.023259997</v>
      </c>
      <c r="F56" s="24"/>
      <c r="G56" s="24">
        <v>0</v>
      </c>
      <c r="H56" s="24"/>
      <c r="I56" s="24">
        <f>+E56+G56</f>
        <v>55863562.023259997</v>
      </c>
      <c r="J56" s="24"/>
      <c r="K56" s="20"/>
      <c r="L56" s="24"/>
      <c r="M56" s="24">
        <v>0</v>
      </c>
      <c r="N56" s="24"/>
      <c r="O56" s="24">
        <v>-1444646</v>
      </c>
      <c r="P56" s="24"/>
      <c r="Q56" s="24">
        <f>+M56+O56</f>
        <v>-1444646</v>
      </c>
      <c r="R56" s="24"/>
      <c r="S56" s="24"/>
      <c r="T56" s="24">
        <f>+I56+Q56</f>
        <v>54418916.023259997</v>
      </c>
      <c r="U56" s="24"/>
      <c r="V56" s="24">
        <v>0</v>
      </c>
      <c r="W56" s="24"/>
      <c r="X56" s="24">
        <v>0</v>
      </c>
      <c r="Y56" s="24"/>
      <c r="Z56" s="24">
        <v>0</v>
      </c>
      <c r="AB56" s="24">
        <f t="shared" ref="AB56:AB66" si="4">+T56+V56+X56+Z56</f>
        <v>54418916.023259997</v>
      </c>
    </row>
    <row r="57" spans="1:28">
      <c r="A57" s="8"/>
      <c r="C57" s="26"/>
      <c r="E57" s="24"/>
      <c r="F57" s="24"/>
      <c r="G57" s="24"/>
      <c r="H57" s="24"/>
      <c r="I57" s="24"/>
      <c r="J57" s="24"/>
      <c r="K57" s="25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B57" s="24"/>
    </row>
    <row r="58" spans="1:28">
      <c r="A58" s="8">
        <f>A56+1</f>
        <v>24</v>
      </c>
      <c r="C58" s="26" t="s">
        <v>45</v>
      </c>
      <c r="D58" s="17"/>
      <c r="E58" s="24">
        <v>0</v>
      </c>
      <c r="F58" s="24"/>
      <c r="G58" s="24">
        <v>0</v>
      </c>
      <c r="H58" s="24"/>
      <c r="I58" s="24">
        <f>+E58+G58</f>
        <v>0</v>
      </c>
      <c r="J58" s="24"/>
      <c r="K58" s="20" t="s">
        <v>24</v>
      </c>
      <c r="L58" s="24"/>
      <c r="M58" s="24">
        <v>0</v>
      </c>
      <c r="N58" s="24"/>
      <c r="O58" s="24">
        <v>0</v>
      </c>
      <c r="P58" s="24"/>
      <c r="Q58" s="24">
        <f>+M58+O58</f>
        <v>0</v>
      </c>
      <c r="R58" s="24"/>
      <c r="S58" s="24"/>
      <c r="T58" s="24">
        <f>+I58+Q58</f>
        <v>0</v>
      </c>
      <c r="U58" s="24"/>
      <c r="V58" s="24">
        <v>0</v>
      </c>
      <c r="W58" s="24"/>
      <c r="X58" s="24">
        <v>0</v>
      </c>
      <c r="Y58" s="24"/>
      <c r="Z58" s="24">
        <v>0</v>
      </c>
      <c r="AB58" s="24">
        <f t="shared" si="4"/>
        <v>0</v>
      </c>
    </row>
    <row r="59" spans="1:28">
      <c r="A59" s="8"/>
      <c r="B59" s="8"/>
      <c r="C59" s="26"/>
      <c r="D59" s="17"/>
      <c r="E59" s="24"/>
      <c r="F59" s="34"/>
      <c r="G59" s="24"/>
      <c r="H59" s="24"/>
      <c r="I59" s="24"/>
      <c r="J59" s="34"/>
      <c r="K59" s="25"/>
      <c r="L59" s="24"/>
      <c r="M59" s="24"/>
      <c r="N59" s="34"/>
      <c r="O59" s="24"/>
      <c r="P59" s="24"/>
      <c r="Q59" s="24"/>
      <c r="R59" s="24"/>
      <c r="S59" s="34"/>
      <c r="T59" s="24"/>
      <c r="U59" s="34"/>
      <c r="V59" s="24"/>
      <c r="W59" s="34"/>
      <c r="X59" s="24"/>
      <c r="Y59" s="24"/>
      <c r="Z59" s="24"/>
      <c r="AB59" s="24"/>
    </row>
    <row r="60" spans="1:28">
      <c r="A60" s="8">
        <f>A58+1</f>
        <v>25</v>
      </c>
      <c r="B60" s="17"/>
      <c r="C60" s="26" t="s">
        <v>46</v>
      </c>
      <c r="D60" s="17"/>
      <c r="E60" s="24">
        <v>0</v>
      </c>
      <c r="F60" s="24"/>
      <c r="G60" s="24">
        <v>0</v>
      </c>
      <c r="H60" s="24"/>
      <c r="I60" s="24">
        <f>+E60+G60</f>
        <v>0</v>
      </c>
      <c r="J60" s="24"/>
      <c r="K60" s="20" t="s">
        <v>24</v>
      </c>
      <c r="L60" s="24"/>
      <c r="M60" s="24">
        <v>0</v>
      </c>
      <c r="N60" s="24"/>
      <c r="O60" s="24">
        <v>0</v>
      </c>
      <c r="P60" s="24"/>
      <c r="Q60" s="24">
        <f>+M60+O60</f>
        <v>0</v>
      </c>
      <c r="R60" s="24"/>
      <c r="S60" s="24"/>
      <c r="T60" s="24">
        <f>+I60+Q60</f>
        <v>0</v>
      </c>
      <c r="U60" s="24"/>
      <c r="V60" s="24">
        <v>0</v>
      </c>
      <c r="W60" s="24"/>
      <c r="X60" s="24">
        <v>0</v>
      </c>
      <c r="Y60" s="24"/>
      <c r="Z60" s="24">
        <v>0</v>
      </c>
      <c r="AB60" s="24">
        <f t="shared" si="4"/>
        <v>0</v>
      </c>
    </row>
    <row r="61" spans="1:28">
      <c r="A61" s="8"/>
      <c r="B61" s="17"/>
      <c r="C61" s="26"/>
      <c r="D61" s="17"/>
      <c r="E61" s="24"/>
      <c r="F61" s="24"/>
      <c r="G61" s="24"/>
      <c r="H61" s="24"/>
      <c r="I61" s="24"/>
      <c r="J61" s="24"/>
      <c r="K61" s="20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>
        <v>0</v>
      </c>
      <c r="W61" s="24"/>
      <c r="X61" s="24"/>
      <c r="Y61" s="24"/>
      <c r="Z61" s="24">
        <v>0</v>
      </c>
      <c r="AB61" s="24"/>
    </row>
    <row r="62" spans="1:28">
      <c r="A62" s="8">
        <f>A60+1</f>
        <v>26</v>
      </c>
      <c r="B62" s="8"/>
      <c r="C62" s="26" t="s">
        <v>47</v>
      </c>
      <c r="D62" s="17"/>
      <c r="E62" s="24">
        <v>735704.96</v>
      </c>
      <c r="F62" s="24"/>
      <c r="G62" s="24">
        <v>0</v>
      </c>
      <c r="H62" s="24"/>
      <c r="I62" s="24">
        <f>+E62+G62</f>
        <v>735704.96</v>
      </c>
      <c r="J62" s="24"/>
      <c r="K62" s="20"/>
      <c r="L62" s="24"/>
      <c r="M62" s="24">
        <v>0</v>
      </c>
      <c r="N62" s="24"/>
      <c r="O62" s="24">
        <v>-657857</v>
      </c>
      <c r="P62" s="24"/>
      <c r="Q62" s="24">
        <f>+M62+O62</f>
        <v>-657857</v>
      </c>
      <c r="R62" s="24"/>
      <c r="S62" s="24"/>
      <c r="T62" s="24">
        <f>+I62+Q62</f>
        <v>77847.959999999963</v>
      </c>
      <c r="U62" s="24"/>
      <c r="V62" s="24">
        <v>0</v>
      </c>
      <c r="W62" s="24"/>
      <c r="X62" s="24">
        <v>0</v>
      </c>
      <c r="Y62" s="24"/>
      <c r="Z62" s="24">
        <v>0</v>
      </c>
      <c r="AB62" s="24">
        <f t="shared" si="4"/>
        <v>77847.959999999963</v>
      </c>
    </row>
    <row r="63" spans="1:28">
      <c r="A63" s="8"/>
      <c r="B63" s="8"/>
      <c r="C63" s="26"/>
      <c r="D63" s="17"/>
      <c r="E63" s="24"/>
      <c r="F63" s="24"/>
      <c r="G63" s="24"/>
      <c r="H63" s="24"/>
      <c r="I63" s="24"/>
      <c r="J63" s="24"/>
      <c r="K63" s="25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B63" s="24"/>
    </row>
    <row r="64" spans="1:28">
      <c r="A64" s="8">
        <f>A62+1</f>
        <v>27</v>
      </c>
      <c r="C64" s="26" t="s">
        <v>48</v>
      </c>
      <c r="D64" s="17"/>
      <c r="E64" s="24">
        <v>1158065.23</v>
      </c>
      <c r="F64" s="24"/>
      <c r="G64" s="24">
        <v>0</v>
      </c>
      <c r="H64" s="24"/>
      <c r="I64" s="24">
        <f>+E64+G64</f>
        <v>1158065.23</v>
      </c>
      <c r="J64" s="24"/>
      <c r="K64" s="20" t="s">
        <v>24</v>
      </c>
      <c r="L64" s="24"/>
      <c r="M64" s="24">
        <v>0</v>
      </c>
      <c r="N64" s="24"/>
      <c r="O64" s="24">
        <v>0</v>
      </c>
      <c r="P64" s="24"/>
      <c r="Q64" s="24">
        <f>+M64+O64</f>
        <v>0</v>
      </c>
      <c r="R64" s="24"/>
      <c r="S64" s="24"/>
      <c r="T64" s="24">
        <f>+I64+Q64</f>
        <v>1158065.23</v>
      </c>
      <c r="U64" s="24"/>
      <c r="V64" s="24">
        <v>0</v>
      </c>
      <c r="W64" s="24"/>
      <c r="X64" s="24">
        <v>0</v>
      </c>
      <c r="Y64" s="24"/>
      <c r="Z64" s="24">
        <v>0</v>
      </c>
      <c r="AB64" s="24">
        <f t="shared" si="4"/>
        <v>1158065.23</v>
      </c>
    </row>
    <row r="65" spans="1:28">
      <c r="A65" s="8"/>
      <c r="C65" s="26"/>
      <c r="D65" s="17"/>
      <c r="E65" s="24"/>
      <c r="F65" s="24"/>
      <c r="G65" s="24"/>
      <c r="H65" s="24"/>
      <c r="I65" s="24"/>
      <c r="J65" s="24"/>
      <c r="K65" s="25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B65" s="24"/>
    </row>
    <row r="66" spans="1:28">
      <c r="A66" s="8">
        <f>A64+1</f>
        <v>28</v>
      </c>
      <c r="C66" s="26" t="s">
        <v>49</v>
      </c>
      <c r="D66" s="17"/>
      <c r="E66" s="24">
        <v>27580701.400000002</v>
      </c>
      <c r="F66" s="24"/>
      <c r="G66" s="24">
        <f>-E66</f>
        <v>-27580701.400000002</v>
      </c>
      <c r="H66" s="24"/>
      <c r="I66" s="24">
        <f>+E66+G66</f>
        <v>0</v>
      </c>
      <c r="J66" s="24"/>
      <c r="K66" s="20" t="s">
        <v>24</v>
      </c>
      <c r="L66" s="24"/>
      <c r="M66" s="24">
        <v>0</v>
      </c>
      <c r="N66" s="24"/>
      <c r="O66" s="24">
        <v>0</v>
      </c>
      <c r="P66" s="24"/>
      <c r="R66" s="24"/>
      <c r="S66" s="24"/>
      <c r="T66" s="24">
        <f>+I66+Q66</f>
        <v>0</v>
      </c>
      <c r="U66" s="24"/>
      <c r="V66" s="24">
        <v>0</v>
      </c>
      <c r="W66" s="24"/>
      <c r="X66" s="24">
        <v>0</v>
      </c>
      <c r="Y66" s="24"/>
      <c r="Z66" s="24">
        <v>0</v>
      </c>
      <c r="AB66" s="24">
        <f t="shared" si="4"/>
        <v>0</v>
      </c>
    </row>
    <row r="67" spans="1:28">
      <c r="A67" s="8"/>
      <c r="C67" s="26"/>
      <c r="E67" s="24"/>
      <c r="F67" s="24"/>
      <c r="G67" s="24"/>
      <c r="H67" s="24"/>
      <c r="I67" s="24"/>
      <c r="J67" s="24"/>
      <c r="K67" s="25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B67" s="24"/>
    </row>
    <row r="68" spans="1:28">
      <c r="A68" s="8">
        <f>A66+1</f>
        <v>29</v>
      </c>
      <c r="B68" s="8"/>
      <c r="C68" s="26" t="s">
        <v>40</v>
      </c>
      <c r="D68" s="17"/>
      <c r="E68" s="27">
        <v>1862.79</v>
      </c>
      <c r="F68" s="24"/>
      <c r="G68" s="27">
        <v>0</v>
      </c>
      <c r="H68" s="24"/>
      <c r="I68" s="27">
        <f>+E68+G68</f>
        <v>1862.79</v>
      </c>
      <c r="J68" s="24"/>
      <c r="K68" s="20" t="s">
        <v>24</v>
      </c>
      <c r="L68" s="24"/>
      <c r="M68" s="27">
        <v>0</v>
      </c>
      <c r="N68" s="24"/>
      <c r="O68" s="27">
        <v>0</v>
      </c>
      <c r="P68" s="24"/>
      <c r="Q68" s="27">
        <f>+M68+O68</f>
        <v>0</v>
      </c>
      <c r="R68" s="24"/>
      <c r="S68" s="24"/>
      <c r="T68" s="27">
        <f>+I68+Q68</f>
        <v>1862.79</v>
      </c>
      <c r="U68" s="24"/>
      <c r="V68" s="27">
        <v>0</v>
      </c>
      <c r="W68" s="24"/>
      <c r="X68" s="27">
        <v>0</v>
      </c>
      <c r="Y68" s="24"/>
      <c r="Z68" s="27">
        <v>0</v>
      </c>
      <c r="AB68" s="27">
        <f>+T68+V68+X68+Z68</f>
        <v>1862.79</v>
      </c>
    </row>
    <row r="69" spans="1:28">
      <c r="A69" s="8"/>
      <c r="C69" s="26"/>
      <c r="E69" s="24"/>
      <c r="F69" s="24"/>
      <c r="G69" s="24"/>
      <c r="H69" s="24"/>
      <c r="I69" s="24"/>
      <c r="J69" s="24"/>
      <c r="K69" s="25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B69" s="24"/>
    </row>
    <row r="70" spans="1:28">
      <c r="A70" s="8">
        <f>A68+1</f>
        <v>30</v>
      </c>
      <c r="B70" s="8"/>
      <c r="C70" s="26" t="s">
        <v>50</v>
      </c>
      <c r="D70" s="17"/>
      <c r="E70" s="24">
        <f>SUM(E54:E68)</f>
        <v>96827669.633260012</v>
      </c>
      <c r="F70" s="24"/>
      <c r="G70" s="24">
        <f>SUM(G54:G69)</f>
        <v>-27580701.400000002</v>
      </c>
      <c r="H70" s="24"/>
      <c r="I70" s="24">
        <f>SUM(I54:I69)</f>
        <v>69246968.233260006</v>
      </c>
      <c r="J70" s="24"/>
      <c r="K70" s="25"/>
      <c r="L70" s="24"/>
      <c r="M70" s="24">
        <f>SUM(M54:M69)</f>
        <v>0</v>
      </c>
      <c r="N70" s="24"/>
      <c r="O70" s="24">
        <f>SUM(O54:O69)</f>
        <v>-1826738</v>
      </c>
      <c r="P70" s="24"/>
      <c r="Q70" s="24">
        <f>SUM(Q54:Q69)</f>
        <v>-1826738</v>
      </c>
      <c r="R70" s="24"/>
      <c r="S70" s="24"/>
      <c r="T70" s="24">
        <f>SUM(T54:T69)</f>
        <v>67420230.233260006</v>
      </c>
      <c r="U70" s="24"/>
      <c r="V70" s="24">
        <f>SUM(V54:V69)</f>
        <v>0</v>
      </c>
      <c r="W70" s="24"/>
      <c r="X70" s="24">
        <f>SUM(X54:X69)</f>
        <v>0</v>
      </c>
      <c r="Y70" s="24"/>
      <c r="Z70" s="24">
        <f>SUM(Z54:Z69)</f>
        <v>0</v>
      </c>
      <c r="AB70" s="24">
        <f>SUM(AB54:AB69)</f>
        <v>67420230.233260006</v>
      </c>
    </row>
    <row r="71" spans="1:28">
      <c r="A71" s="8"/>
      <c r="C71" s="26"/>
      <c r="E71" s="24"/>
      <c r="F71" s="15"/>
      <c r="G71" s="15"/>
      <c r="H71" s="15"/>
      <c r="I71" s="40"/>
      <c r="J71" s="15"/>
      <c r="K71" s="22"/>
      <c r="L71" s="15"/>
      <c r="M71" s="40"/>
      <c r="N71" s="15"/>
      <c r="O71" s="40"/>
      <c r="P71" s="15"/>
      <c r="Q71" s="40"/>
      <c r="R71" s="15"/>
      <c r="S71" s="15"/>
      <c r="T71" s="40"/>
      <c r="U71" s="15"/>
      <c r="V71" s="40"/>
      <c r="W71" s="15"/>
      <c r="X71" s="40"/>
      <c r="Y71" s="15"/>
      <c r="Z71" s="40"/>
      <c r="AB71" s="40"/>
    </row>
    <row r="72" spans="1:28" ht="18.75" thickBot="1">
      <c r="A72" s="8">
        <f>A70+1</f>
        <v>31</v>
      </c>
      <c r="B72" s="8"/>
      <c r="C72" s="26" t="s">
        <v>51</v>
      </c>
      <c r="D72" s="17"/>
      <c r="E72" s="41">
        <f>E15+E49+E70</f>
        <v>123138828.93326001</v>
      </c>
      <c r="F72" s="19"/>
      <c r="G72" s="41">
        <f>G15+G49+G70</f>
        <v>-27580701.400000002</v>
      </c>
      <c r="H72" s="19"/>
      <c r="I72" s="42">
        <f>I15+I49+I70</f>
        <v>95558127.533260003</v>
      </c>
      <c r="J72" s="19"/>
      <c r="K72" s="20"/>
      <c r="L72" s="19"/>
      <c r="M72" s="42" t="e">
        <f>M15+M49+M70</f>
        <v>#REF!</v>
      </c>
      <c r="N72" s="19"/>
      <c r="O72" s="42">
        <f>O15+O49+O70</f>
        <v>-1285244</v>
      </c>
      <c r="P72" s="19"/>
      <c r="Q72" s="42">
        <f>Q15+Q49+Q70</f>
        <v>-1285244</v>
      </c>
      <c r="R72" s="31" t="s">
        <v>52</v>
      </c>
      <c r="S72" s="19"/>
      <c r="T72" s="42">
        <f>T15+T49+T70</f>
        <v>94272883.533260003</v>
      </c>
      <c r="U72" s="19"/>
      <c r="V72" s="42" t="e">
        <f>V15+V49+V70</f>
        <v>#REF!</v>
      </c>
      <c r="W72" s="19"/>
      <c r="X72" s="42">
        <f>X15+X49+X70</f>
        <v>0</v>
      </c>
      <c r="Y72" s="19"/>
      <c r="Z72" s="42" t="e">
        <f>Z15+Z49+Z70</f>
        <v>#REF!</v>
      </c>
      <c r="AB72" s="42">
        <f>AB15+AB49+AB70</f>
        <v>94272883.533260003</v>
      </c>
    </row>
    <row r="73" spans="1:28" ht="13.5" thickTop="1">
      <c r="C73" s="26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B73" s="15"/>
    </row>
    <row r="74" spans="1:28">
      <c r="C74" s="26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6"/>
      <c r="R74" s="24"/>
      <c r="S74" s="15"/>
      <c r="T74" s="15"/>
      <c r="U74" s="15"/>
      <c r="V74" s="15"/>
      <c r="W74" s="15"/>
      <c r="X74" s="15"/>
      <c r="Y74" s="15"/>
      <c r="Z74" s="15"/>
      <c r="AA74" s="15"/>
      <c r="AB74" s="15"/>
    </row>
    <row r="75" spans="1:28" ht="12.75" customHeight="1">
      <c r="C75" s="17"/>
      <c r="D75" s="43"/>
      <c r="E75" s="44"/>
      <c r="F75" s="44"/>
      <c r="G75" s="44"/>
      <c r="H75" s="44"/>
      <c r="I75" s="44"/>
      <c r="J75" s="24"/>
      <c r="K75" s="24"/>
      <c r="L75" s="24"/>
      <c r="M75" s="24"/>
      <c r="O75" s="24"/>
      <c r="P75" s="24"/>
      <c r="Q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>
      <c r="A76" s="21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S77" s="24"/>
      <c r="T77" s="24"/>
      <c r="U77" s="45"/>
      <c r="V77" s="24"/>
      <c r="W77" s="24"/>
      <c r="X77" s="24"/>
      <c r="Y77" s="24"/>
      <c r="Z77" s="24"/>
      <c r="AA77" s="24"/>
      <c r="AB77" s="24"/>
    </row>
    <row r="78" spans="1:28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>
      <c r="E80" s="15"/>
      <c r="F80" s="15"/>
      <c r="G80" s="15"/>
      <c r="H80" s="15"/>
      <c r="I80" s="15"/>
      <c r="J80" s="15"/>
      <c r="K80" s="15"/>
      <c r="L80" s="15"/>
      <c r="M80" s="15"/>
      <c r="O80" s="15"/>
      <c r="P80" s="15"/>
      <c r="Q80" s="15"/>
      <c r="S80" s="15"/>
      <c r="T80" s="15"/>
      <c r="U80" s="15"/>
      <c r="V80" s="15"/>
      <c r="W80" s="15"/>
      <c r="X80" s="15"/>
      <c r="Y80" s="15"/>
      <c r="Z80" s="15"/>
      <c r="AA80" s="15"/>
    </row>
  </sheetData>
  <mergeCells count="4">
    <mergeCell ref="A1:AB1"/>
    <mergeCell ref="A2:AB2"/>
    <mergeCell ref="A3:AB3"/>
    <mergeCell ref="K8:O8"/>
  </mergeCells>
  <phoneticPr fontId="0" type="noConversion"/>
  <printOptions horizontalCentered="1"/>
  <pageMargins left="1" right="1" top="1" bottom="1" header="0.3" footer="0.3"/>
  <pageSetup scale="49"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B71"/>
  <sheetViews>
    <sheetView tabSelected="1" zoomScale="70" zoomScaleNormal="70" workbookViewId="0">
      <selection activeCell="C12" sqref="C12"/>
    </sheetView>
  </sheetViews>
  <sheetFormatPr defaultColWidth="9.75" defaultRowHeight="12.75"/>
  <cols>
    <col min="1" max="1" width="9.75" style="1"/>
    <col min="2" max="2" width="3.25" style="1" customWidth="1"/>
    <col min="3" max="3" width="49.75" style="1" customWidth="1"/>
    <col min="4" max="4" width="2.75" style="1" customWidth="1"/>
    <col min="5" max="5" width="15.75" style="1" customWidth="1"/>
    <col min="6" max="6" width="2.125" style="1" customWidth="1"/>
    <col min="7" max="7" width="10.125" style="1" customWidth="1"/>
    <col min="8" max="8" width="2.125" style="1" customWidth="1"/>
    <col min="9" max="9" width="13.375" style="1" bestFit="1" customWidth="1"/>
    <col min="10" max="10" width="2.125" style="1" customWidth="1"/>
    <col min="11" max="11" width="12.75" style="1" customWidth="1"/>
    <col min="12" max="12" width="2.25" style="1" customWidth="1"/>
    <col min="13" max="13" width="12.125" style="1" hidden="1" customWidth="1"/>
    <col min="14" max="14" width="1.375" style="1" hidden="1" customWidth="1"/>
    <col min="15" max="15" width="12.25" style="1" bestFit="1" customWidth="1"/>
    <col min="16" max="16" width="1.75" style="1" customWidth="1"/>
    <col min="17" max="17" width="12.25" style="1" bestFit="1" customWidth="1"/>
    <col min="18" max="18" width="4.75" style="1" customWidth="1"/>
    <col min="19" max="19" width="1.375" style="1" customWidth="1"/>
    <col min="20" max="20" width="13.125" style="1" customWidth="1"/>
    <col min="21" max="21" width="1.75" style="1" customWidth="1"/>
    <col min="22" max="22" width="12.75" style="1" hidden="1" customWidth="1"/>
    <col min="23" max="23" width="2" style="1" hidden="1" customWidth="1"/>
    <col min="24" max="24" width="11" style="1" bestFit="1" customWidth="1"/>
    <col min="25" max="25" width="2.125" style="1" hidden="1" customWidth="1"/>
    <col min="26" max="26" width="11.875" style="1" hidden="1" customWidth="1"/>
    <col min="27" max="27" width="1.75" style="1" customWidth="1"/>
    <col min="28" max="28" width="13.375" style="1" customWidth="1"/>
    <col min="29" max="16384" width="9.75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>
      <c r="A2" s="231" t="s">
        <v>53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tr">
        <f>+OthOpRev451_454_456!A3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7" spans="1:28">
      <c r="A7" s="2">
        <v>-1</v>
      </c>
      <c r="C7" s="2">
        <v>-2</v>
      </c>
      <c r="D7" s="2"/>
      <c r="E7" s="2">
        <v>-3</v>
      </c>
      <c r="F7" s="3"/>
      <c r="G7" s="2">
        <v>-4</v>
      </c>
      <c r="H7" s="2"/>
      <c r="I7" s="2">
        <v>-5</v>
      </c>
      <c r="J7" s="2"/>
      <c r="K7" s="2">
        <v>-6</v>
      </c>
      <c r="L7" s="2"/>
      <c r="M7" s="2">
        <v>-7</v>
      </c>
      <c r="N7" s="2"/>
      <c r="O7" s="2">
        <v>-7</v>
      </c>
      <c r="P7" s="2"/>
      <c r="Q7" s="2">
        <v>-8</v>
      </c>
      <c r="R7" s="2"/>
      <c r="S7" s="2"/>
      <c r="T7" s="2">
        <v>-9</v>
      </c>
      <c r="U7" s="2"/>
      <c r="V7" s="2">
        <v>-11</v>
      </c>
      <c r="X7" s="2">
        <v>-10</v>
      </c>
      <c r="Y7" s="4"/>
      <c r="Z7" s="2">
        <v>-13</v>
      </c>
      <c r="AA7" s="2"/>
      <c r="AB7" s="2">
        <v>-11</v>
      </c>
    </row>
    <row r="8" spans="1:28">
      <c r="E8" s="5"/>
      <c r="F8" s="3"/>
      <c r="G8" s="3"/>
      <c r="H8" s="3"/>
      <c r="J8" s="3"/>
      <c r="K8" s="232" t="s">
        <v>3</v>
      </c>
      <c r="L8" s="232"/>
      <c r="M8" s="232"/>
      <c r="N8" s="232"/>
      <c r="O8" s="232"/>
      <c r="P8" s="6"/>
      <c r="Q8" s="3"/>
      <c r="R8" s="3"/>
      <c r="S8" s="3"/>
      <c r="T8" s="7" t="s">
        <v>4</v>
      </c>
      <c r="U8" s="3"/>
      <c r="V8" s="3"/>
      <c r="W8" s="5"/>
      <c r="X8" s="5"/>
      <c r="Y8" s="5"/>
      <c r="AA8" s="5"/>
    </row>
    <row r="9" spans="1:28">
      <c r="A9" s="8" t="s">
        <v>5</v>
      </c>
      <c r="B9" s="8"/>
      <c r="E9" s="5">
        <v>2024</v>
      </c>
      <c r="F9" s="3"/>
      <c r="G9" s="5">
        <v>2024</v>
      </c>
      <c r="H9" s="3"/>
      <c r="I9" s="5">
        <v>2024</v>
      </c>
      <c r="J9" s="6"/>
      <c r="K9" s="5">
        <v>2024</v>
      </c>
      <c r="L9" s="6"/>
      <c r="M9" s="6" t="s">
        <v>6</v>
      </c>
      <c r="N9" s="6"/>
      <c r="O9" s="6"/>
      <c r="P9" s="6"/>
      <c r="Q9" s="6"/>
      <c r="R9" s="6" t="s">
        <v>7</v>
      </c>
      <c r="S9" s="6"/>
      <c r="T9" s="9" t="s">
        <v>8</v>
      </c>
      <c r="U9" s="6"/>
      <c r="V9" s="6"/>
      <c r="W9" s="6"/>
      <c r="X9" s="8"/>
      <c r="Y9" s="5"/>
      <c r="Z9" s="8" t="s">
        <v>9</v>
      </c>
      <c r="AA9" s="8"/>
      <c r="AB9" s="5" t="s">
        <v>4</v>
      </c>
    </row>
    <row r="10" spans="1:28" ht="14.25" customHeight="1">
      <c r="A10" s="10" t="s">
        <v>10</v>
      </c>
      <c r="B10" s="8"/>
      <c r="C10" s="10" t="s">
        <v>54</v>
      </c>
      <c r="E10" s="11" t="s">
        <v>12</v>
      </c>
      <c r="F10" s="3"/>
      <c r="G10" s="12" t="s">
        <v>13</v>
      </c>
      <c r="H10" s="6"/>
      <c r="I10" s="13" t="s">
        <v>14</v>
      </c>
      <c r="J10" s="6"/>
      <c r="K10" s="13" t="s">
        <v>14</v>
      </c>
      <c r="L10" s="6"/>
      <c r="M10" s="13" t="s">
        <v>15</v>
      </c>
      <c r="N10" s="6"/>
      <c r="O10" s="14" t="s">
        <v>16</v>
      </c>
      <c r="P10" s="9"/>
      <c r="Q10" s="13" t="s">
        <v>17</v>
      </c>
      <c r="R10" s="13" t="s">
        <v>10</v>
      </c>
      <c r="S10" s="6"/>
      <c r="T10" s="14" t="s">
        <v>18</v>
      </c>
      <c r="U10" s="6"/>
      <c r="V10" s="13" t="s">
        <v>19</v>
      </c>
      <c r="W10" s="6"/>
      <c r="X10" s="10" t="s">
        <v>20</v>
      </c>
      <c r="Y10" s="8"/>
      <c r="Z10" s="10" t="s">
        <v>21</v>
      </c>
      <c r="AA10" s="8"/>
      <c r="AB10" s="10" t="s">
        <v>18</v>
      </c>
    </row>
    <row r="11" spans="1:28">
      <c r="A11" s="8"/>
      <c r="B11" s="8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>
      <c r="A12" s="17" t="s">
        <v>55</v>
      </c>
      <c r="B12" s="17"/>
      <c r="E12" s="15"/>
    </row>
    <row r="13" spans="1:28">
      <c r="E13" s="15"/>
    </row>
    <row r="14" spans="1:28">
      <c r="A14" s="8">
        <v>1</v>
      </c>
      <c r="B14" s="8"/>
      <c r="C14" s="18" t="s">
        <v>56</v>
      </c>
      <c r="D14" s="5"/>
      <c r="E14" s="19">
        <v>9153.19</v>
      </c>
      <c r="G14" s="19">
        <v>0</v>
      </c>
      <c r="H14" s="19"/>
      <c r="I14" s="19">
        <f>SUM(E14:H14)</f>
        <v>9153.19</v>
      </c>
      <c r="J14" s="19"/>
      <c r="K14" s="20" t="s">
        <v>24</v>
      </c>
      <c r="L14" s="19"/>
      <c r="M14" s="19">
        <v>0</v>
      </c>
      <c r="N14" s="19"/>
      <c r="O14" s="19">
        <v>0</v>
      </c>
      <c r="P14" s="19"/>
      <c r="Q14" s="19">
        <f>+M14+O14</f>
        <v>0</v>
      </c>
      <c r="R14" s="19"/>
      <c r="S14" s="19"/>
      <c r="T14" s="19">
        <f>+I14+Q14</f>
        <v>9153.19</v>
      </c>
      <c r="U14" s="19"/>
      <c r="V14" s="19">
        <v>0</v>
      </c>
      <c r="W14" s="19"/>
      <c r="X14" s="19">
        <v>0</v>
      </c>
      <c r="Y14" s="19"/>
      <c r="Z14" s="19">
        <v>0</v>
      </c>
      <c r="AA14" s="19"/>
      <c r="AB14" s="19">
        <f>+T14+V14+X14+Z14</f>
        <v>9153.19</v>
      </c>
    </row>
    <row r="15" spans="1:28">
      <c r="A15" s="8"/>
      <c r="B15" s="8"/>
      <c r="C15" s="21"/>
      <c r="D15" s="21"/>
      <c r="E15" s="15"/>
      <c r="G15" s="15"/>
      <c r="I15" s="15"/>
      <c r="K15" s="22"/>
      <c r="M15" s="15"/>
      <c r="N15" s="15"/>
      <c r="O15" s="15"/>
      <c r="P15" s="15"/>
      <c r="Q15" s="15"/>
      <c r="R15" s="15"/>
      <c r="U15" s="15"/>
      <c r="V15" s="15"/>
      <c r="X15" s="15"/>
      <c r="Y15" s="15"/>
      <c r="Z15" s="15"/>
      <c r="AA15" s="15"/>
    </row>
    <row r="16" spans="1:28">
      <c r="A16" s="8">
        <f>A14+1</f>
        <v>2</v>
      </c>
      <c r="B16" s="8"/>
      <c r="C16" s="23" t="s">
        <v>57</v>
      </c>
      <c r="D16" s="8"/>
      <c r="E16" s="24">
        <v>5418.54</v>
      </c>
      <c r="G16" s="24">
        <v>0</v>
      </c>
      <c r="H16" s="24"/>
      <c r="I16" s="24">
        <f>SUM(E16:H16)</f>
        <v>5418.54</v>
      </c>
      <c r="J16" s="24"/>
      <c r="K16" s="20" t="s">
        <v>24</v>
      </c>
      <c r="L16" s="24"/>
      <c r="M16" s="24">
        <v>0</v>
      </c>
      <c r="N16" s="24"/>
      <c r="O16" s="24">
        <v>0</v>
      </c>
      <c r="P16" s="24"/>
      <c r="Q16" s="24">
        <f>+M16+O16</f>
        <v>0</v>
      </c>
      <c r="R16" s="24"/>
      <c r="S16" s="24"/>
      <c r="T16" s="24">
        <f>+I16+Q16</f>
        <v>5418.54</v>
      </c>
      <c r="U16" s="24"/>
      <c r="V16" s="24">
        <v>0</v>
      </c>
      <c r="W16" s="24"/>
      <c r="X16" s="24">
        <v>0</v>
      </c>
      <c r="Y16" s="24"/>
      <c r="Z16" s="24">
        <v>0</v>
      </c>
      <c r="AB16" s="24">
        <f>+T16+V16+X16+Z16</f>
        <v>5418.54</v>
      </c>
    </row>
    <row r="17" spans="1:28">
      <c r="A17" s="8"/>
      <c r="B17" s="8"/>
      <c r="C17" s="21"/>
      <c r="D17" s="21"/>
      <c r="E17" s="24"/>
      <c r="G17" s="24"/>
      <c r="H17" s="24"/>
      <c r="I17" s="24"/>
      <c r="J17" s="24"/>
      <c r="K17" s="25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B17" s="24"/>
    </row>
    <row r="18" spans="1:28">
      <c r="A18" s="8">
        <f>A16+1</f>
        <v>3</v>
      </c>
      <c r="B18" s="8"/>
      <c r="C18" s="23" t="s">
        <v>58</v>
      </c>
      <c r="D18" s="8"/>
      <c r="E18" s="24">
        <v>23358</v>
      </c>
      <c r="G18" s="24">
        <v>0</v>
      </c>
      <c r="H18" s="24"/>
      <c r="I18" s="24">
        <f>SUM(E18:H18)</f>
        <v>23358</v>
      </c>
      <c r="J18" s="24"/>
      <c r="K18" s="20" t="s">
        <v>24</v>
      </c>
      <c r="L18" s="24"/>
      <c r="M18" s="24">
        <v>0</v>
      </c>
      <c r="N18" s="24"/>
      <c r="O18" s="24">
        <v>0</v>
      </c>
      <c r="P18" s="24"/>
      <c r="Q18" s="24">
        <f>+M18+O18</f>
        <v>0</v>
      </c>
      <c r="R18" s="24"/>
      <c r="S18" s="24"/>
      <c r="T18" s="24">
        <f>+I18+Q18</f>
        <v>23358</v>
      </c>
      <c r="U18" s="24"/>
      <c r="V18" s="24">
        <v>0</v>
      </c>
      <c r="W18" s="24"/>
      <c r="X18" s="24">
        <v>0</v>
      </c>
      <c r="Y18" s="24"/>
      <c r="Z18" s="24">
        <v>0</v>
      </c>
      <c r="AB18" s="24">
        <f t="shared" ref="AB18:AB26" si="0">+T18+V18+X18+Z18</f>
        <v>23358</v>
      </c>
    </row>
    <row r="19" spans="1:28">
      <c r="A19" s="8"/>
      <c r="B19" s="8"/>
      <c r="C19" s="21"/>
      <c r="D19" s="21"/>
      <c r="E19" s="24"/>
      <c r="G19" s="24"/>
      <c r="H19" s="24"/>
      <c r="I19" s="24"/>
      <c r="J19" s="24"/>
      <c r="K19" s="25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B19" s="24"/>
    </row>
    <row r="20" spans="1:28">
      <c r="A20" s="8">
        <f>+A18+1</f>
        <v>4</v>
      </c>
      <c r="B20" s="8"/>
      <c r="C20" s="23" t="s">
        <v>59</v>
      </c>
      <c r="D20" s="21"/>
      <c r="E20" s="24">
        <v>7790</v>
      </c>
      <c r="G20" s="24">
        <v>0</v>
      </c>
      <c r="H20" s="24"/>
      <c r="I20" s="24">
        <f>SUM(E20:H20)</f>
        <v>7790</v>
      </c>
      <c r="J20" s="24"/>
      <c r="K20" s="20" t="s">
        <v>24</v>
      </c>
      <c r="L20" s="24"/>
      <c r="M20" s="24">
        <v>0</v>
      </c>
      <c r="N20" s="24"/>
      <c r="O20" s="24">
        <v>0</v>
      </c>
      <c r="P20" s="24"/>
      <c r="Q20" s="24">
        <f>+M20+O20</f>
        <v>0</v>
      </c>
      <c r="R20" s="24"/>
      <c r="S20" s="24"/>
      <c r="T20" s="24">
        <f>+I20+Q20</f>
        <v>7790</v>
      </c>
      <c r="U20" s="24"/>
      <c r="V20" s="24">
        <v>0</v>
      </c>
      <c r="W20" s="24"/>
      <c r="X20" s="24">
        <v>0</v>
      </c>
      <c r="Y20" s="24"/>
      <c r="Z20" s="24">
        <v>0</v>
      </c>
      <c r="AB20" s="24">
        <f t="shared" ref="AB20:AB22" si="1">+T20+V20+X20+Z20</f>
        <v>7790</v>
      </c>
    </row>
    <row r="21" spans="1:28">
      <c r="A21" s="8"/>
      <c r="B21" s="8"/>
      <c r="C21" s="23"/>
      <c r="D21" s="21"/>
      <c r="E21" s="24"/>
      <c r="G21" s="24"/>
      <c r="H21" s="24"/>
      <c r="I21" s="24"/>
      <c r="J21" s="24"/>
      <c r="K21" s="20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B21" s="24"/>
    </row>
    <row r="22" spans="1:28">
      <c r="A22" s="8">
        <f>+A20+1</f>
        <v>5</v>
      </c>
      <c r="B22" s="8"/>
      <c r="C22" s="23" t="s">
        <v>60</v>
      </c>
      <c r="D22" s="21"/>
      <c r="E22" s="24">
        <v>3669744</v>
      </c>
      <c r="G22" s="24">
        <v>0</v>
      </c>
      <c r="H22" s="24"/>
      <c r="I22" s="24">
        <f t="shared" ref="I22" si="2">SUM(E22:H22)</f>
        <v>3669744</v>
      </c>
      <c r="J22" s="24"/>
      <c r="K22" s="20" t="s">
        <v>24</v>
      </c>
      <c r="L22" s="24"/>
      <c r="M22" s="24"/>
      <c r="N22" s="24"/>
      <c r="O22" s="24">
        <v>0</v>
      </c>
      <c r="P22" s="24"/>
      <c r="Q22" s="24">
        <f>+M22+O22</f>
        <v>0</v>
      </c>
      <c r="R22" s="24"/>
      <c r="S22" s="24"/>
      <c r="T22" s="24">
        <f>+I22+Q22</f>
        <v>3669744</v>
      </c>
      <c r="U22" s="24"/>
      <c r="V22" s="24"/>
      <c r="W22" s="24"/>
      <c r="X22" s="24">
        <v>0</v>
      </c>
      <c r="Y22" s="24"/>
      <c r="Z22" s="24"/>
      <c r="AB22" s="24">
        <f t="shared" si="1"/>
        <v>3669744</v>
      </c>
    </row>
    <row r="23" spans="1:28">
      <c r="A23" s="8"/>
      <c r="B23" s="8"/>
      <c r="C23" s="21"/>
      <c r="D23" s="21"/>
      <c r="E23" s="24"/>
      <c r="G23" s="24"/>
      <c r="H23" s="24"/>
      <c r="I23" s="24"/>
      <c r="J23" s="24"/>
      <c r="K23" s="25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B23" s="24"/>
    </row>
    <row r="24" spans="1:28">
      <c r="A24" s="8">
        <f>+A22+1</f>
        <v>6</v>
      </c>
      <c r="B24" s="8"/>
      <c r="C24" s="18" t="s">
        <v>61</v>
      </c>
      <c r="D24" s="5"/>
      <c r="E24" s="24">
        <v>660674.49</v>
      </c>
      <c r="G24" s="24">
        <v>0</v>
      </c>
      <c r="H24" s="24"/>
      <c r="I24" s="24">
        <f>SUM(E24:H24)</f>
        <v>660674.49</v>
      </c>
      <c r="J24" s="24"/>
      <c r="K24" s="20"/>
      <c r="L24" s="24"/>
      <c r="M24" s="24">
        <v>0</v>
      </c>
      <c r="N24" s="24"/>
      <c r="O24" s="24">
        <f>774298.96-I24</f>
        <v>113624.46999999997</v>
      </c>
      <c r="P24" s="24"/>
      <c r="Q24" s="24">
        <f>+M24+O24</f>
        <v>113624.46999999997</v>
      </c>
      <c r="R24" s="24"/>
      <c r="S24" s="24"/>
      <c r="T24" s="24">
        <f>+I24+Q24</f>
        <v>774298.96</v>
      </c>
      <c r="U24" s="24"/>
      <c r="V24" s="24">
        <v>0</v>
      </c>
      <c r="W24" s="24"/>
      <c r="X24" s="24">
        <v>0</v>
      </c>
      <c r="Y24" s="24"/>
      <c r="Z24" s="24">
        <v>0</v>
      </c>
      <c r="AB24" s="24">
        <f t="shared" si="0"/>
        <v>774298.96</v>
      </c>
    </row>
    <row r="25" spans="1:28">
      <c r="A25" s="8"/>
      <c r="B25" s="8"/>
      <c r="C25" s="26"/>
      <c r="D25" s="17"/>
      <c r="E25" s="24"/>
      <c r="G25" s="24"/>
      <c r="H25" s="24"/>
      <c r="I25" s="24"/>
      <c r="J25" s="24"/>
      <c r="K25" s="25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B25" s="24"/>
    </row>
    <row r="26" spans="1:28">
      <c r="A26" s="8">
        <f>A24+1</f>
        <v>7</v>
      </c>
      <c r="B26" s="8"/>
      <c r="C26" s="18" t="s">
        <v>62</v>
      </c>
      <c r="D26" s="5"/>
      <c r="E26" s="27">
        <v>0</v>
      </c>
      <c r="G26" s="27">
        <v>0</v>
      </c>
      <c r="H26" s="24"/>
      <c r="I26" s="27">
        <f>SUM(E26:H26)</f>
        <v>0</v>
      </c>
      <c r="J26" s="24"/>
      <c r="K26" s="20"/>
      <c r="L26" s="24"/>
      <c r="M26" s="27">
        <v>0</v>
      </c>
      <c r="N26" s="24"/>
      <c r="O26" s="27">
        <f>5778.66</f>
        <v>5778.66</v>
      </c>
      <c r="P26" s="24"/>
      <c r="Q26" s="27">
        <f>+M26+O26</f>
        <v>5778.66</v>
      </c>
      <c r="R26" s="24"/>
      <c r="S26" s="24"/>
      <c r="T26" s="27">
        <f>+I26+Q26</f>
        <v>5778.66</v>
      </c>
      <c r="U26" s="24"/>
      <c r="V26" s="27">
        <v>0</v>
      </c>
      <c r="W26" s="24"/>
      <c r="X26" s="27">
        <v>0</v>
      </c>
      <c r="Y26" s="24"/>
      <c r="Z26" s="27">
        <v>0</v>
      </c>
      <c r="AB26" s="27">
        <f t="shared" si="0"/>
        <v>5778.66</v>
      </c>
    </row>
    <row r="27" spans="1:28">
      <c r="A27" s="8"/>
      <c r="B27" s="8"/>
      <c r="C27" s="21"/>
      <c r="D27" s="21"/>
      <c r="E27" s="15"/>
      <c r="G27" s="15"/>
      <c r="I27" s="15"/>
      <c r="K27" s="22"/>
      <c r="M27" s="15"/>
      <c r="N27" s="15"/>
      <c r="O27" s="15"/>
      <c r="P27" s="15"/>
      <c r="Q27" s="15"/>
      <c r="R27" s="15"/>
      <c r="T27" s="15"/>
      <c r="U27" s="15"/>
      <c r="V27" s="15"/>
      <c r="X27" s="15"/>
      <c r="Y27" s="15"/>
      <c r="Z27" s="15"/>
      <c r="AA27" s="15"/>
      <c r="AB27" s="15"/>
    </row>
    <row r="28" spans="1:28" ht="18.75" thickBot="1">
      <c r="A28" s="8">
        <f>A26+1</f>
        <v>8</v>
      </c>
      <c r="B28" s="8"/>
      <c r="C28" s="18" t="s">
        <v>63</v>
      </c>
      <c r="D28" s="5"/>
      <c r="E28" s="28">
        <f>SUM(E14:E27)</f>
        <v>4376138.22</v>
      </c>
      <c r="G28" s="28">
        <f>SUM(G14:G27)</f>
        <v>0</v>
      </c>
      <c r="I28" s="28">
        <f>SUM(I14:I27)</f>
        <v>4376138.22</v>
      </c>
      <c r="K28" s="29"/>
      <c r="M28" s="28">
        <f>SUM(M14:M27)</f>
        <v>0</v>
      </c>
      <c r="N28" s="30"/>
      <c r="O28" s="28">
        <f>SUM(O14:O27)</f>
        <v>119403.12999999998</v>
      </c>
      <c r="P28" s="30"/>
      <c r="Q28" s="28">
        <f>SUM(Q14:Q27)</f>
        <v>119403.12999999998</v>
      </c>
      <c r="R28" s="31" t="s">
        <v>64</v>
      </c>
      <c r="T28" s="28">
        <f>SUM(T14:T27)</f>
        <v>4495541.3499999996</v>
      </c>
      <c r="U28" s="30"/>
      <c r="V28" s="28">
        <f>SUM(V14:V27)</f>
        <v>0</v>
      </c>
      <c r="X28" s="28">
        <f>SUM(X14:X27)</f>
        <v>0</v>
      </c>
      <c r="Y28" s="30"/>
      <c r="Z28" s="28">
        <f>SUM(Z14:Z27)</f>
        <v>0</v>
      </c>
      <c r="AA28" s="30"/>
      <c r="AB28" s="28">
        <f>SUM(AB14:AB27)</f>
        <v>4495541.3499999996</v>
      </c>
    </row>
    <row r="29" spans="1:28" ht="13.5" thickTop="1">
      <c r="E29" s="32"/>
      <c r="G29" s="15"/>
      <c r="I29" s="15"/>
      <c r="K29" s="22"/>
      <c r="M29" s="15"/>
      <c r="N29" s="15"/>
      <c r="O29" s="15"/>
      <c r="P29" s="15"/>
      <c r="Q29" s="15"/>
      <c r="R29" s="15"/>
      <c r="T29" s="15"/>
      <c r="U29" s="15"/>
      <c r="V29" s="15"/>
      <c r="X29" s="15"/>
      <c r="Y29" s="15"/>
      <c r="Z29" s="15"/>
      <c r="AA29" s="15"/>
      <c r="AB29" s="15"/>
    </row>
    <row r="30" spans="1:28">
      <c r="E30" s="32"/>
      <c r="G30" s="15"/>
      <c r="I30" s="15"/>
      <c r="K30" s="22"/>
      <c r="M30" s="15"/>
      <c r="N30" s="15"/>
      <c r="O30" s="15"/>
      <c r="P30" s="15"/>
      <c r="Q30" s="15"/>
      <c r="R30" s="15"/>
      <c r="U30" s="15"/>
      <c r="V30" s="15"/>
      <c r="Y30" s="15"/>
      <c r="Z30" s="15"/>
      <c r="AA30" s="15"/>
    </row>
    <row r="31" spans="1:28">
      <c r="E31" s="33"/>
      <c r="G31" s="15"/>
      <c r="I31" s="15"/>
      <c r="K31" s="22"/>
      <c r="M31" s="15"/>
      <c r="N31" s="15"/>
      <c r="O31" s="15"/>
      <c r="P31" s="15"/>
      <c r="Q31" s="15"/>
      <c r="R31" s="15"/>
      <c r="U31" s="15"/>
      <c r="V31" s="15"/>
      <c r="Y31" s="15"/>
      <c r="Z31" s="15"/>
      <c r="AA31" s="15"/>
    </row>
    <row r="32" spans="1:28">
      <c r="A32" s="17" t="s">
        <v>65</v>
      </c>
      <c r="B32" s="17"/>
      <c r="E32" s="15"/>
      <c r="G32" s="15"/>
      <c r="I32" s="15"/>
      <c r="K32" s="22"/>
      <c r="M32" s="15"/>
      <c r="N32" s="15"/>
      <c r="O32" s="15"/>
      <c r="P32" s="15"/>
      <c r="Q32" s="15"/>
      <c r="R32" s="15"/>
      <c r="U32" s="15"/>
      <c r="V32" s="15"/>
      <c r="Y32" s="15"/>
      <c r="Z32" s="15"/>
      <c r="AA32" s="15"/>
    </row>
    <row r="33" spans="1:28">
      <c r="A33" s="17"/>
      <c r="B33" s="17"/>
      <c r="E33" s="15"/>
      <c r="G33" s="15"/>
      <c r="I33" s="15"/>
      <c r="K33" s="22"/>
      <c r="M33" s="15"/>
      <c r="N33" s="15"/>
      <c r="O33" s="15"/>
      <c r="P33" s="15"/>
      <c r="Q33" s="15"/>
      <c r="R33" s="15"/>
      <c r="U33" s="15"/>
      <c r="V33" s="15"/>
      <c r="Y33" s="15"/>
      <c r="Z33" s="15"/>
      <c r="AA33" s="15"/>
    </row>
    <row r="34" spans="1:28">
      <c r="A34" s="8">
        <f>+A28+1</f>
        <v>9</v>
      </c>
      <c r="B34" s="8"/>
      <c r="C34" s="23" t="s">
        <v>56</v>
      </c>
      <c r="D34" s="8"/>
      <c r="E34" s="19">
        <v>97006.12</v>
      </c>
      <c r="G34" s="19">
        <v>0</v>
      </c>
      <c r="H34" s="19"/>
      <c r="I34" s="19">
        <f>SUM(E34:H34)</f>
        <v>97006.12</v>
      </c>
      <c r="J34" s="19"/>
      <c r="K34" s="20" t="s">
        <v>24</v>
      </c>
      <c r="L34" s="19"/>
      <c r="M34" s="19">
        <v>0</v>
      </c>
      <c r="N34" s="19"/>
      <c r="O34" s="19">
        <v>0</v>
      </c>
      <c r="P34" s="19"/>
      <c r="Q34" s="19">
        <f>+M34+O34</f>
        <v>0</v>
      </c>
      <c r="R34" s="19"/>
      <c r="S34" s="19"/>
      <c r="T34" s="19">
        <f>+I34+Q34</f>
        <v>97006.12</v>
      </c>
      <c r="U34" s="19"/>
      <c r="V34" s="19">
        <v>0</v>
      </c>
      <c r="W34" s="19"/>
      <c r="X34" s="19">
        <v>0</v>
      </c>
      <c r="Y34" s="19"/>
      <c r="Z34" s="19">
        <v>0</v>
      </c>
      <c r="AA34" s="19"/>
      <c r="AB34" s="19">
        <f>+T34+V34+X34+Z34</f>
        <v>97006.12</v>
      </c>
    </row>
    <row r="35" spans="1:28">
      <c r="A35" s="8"/>
      <c r="B35" s="8"/>
      <c r="C35" s="21"/>
      <c r="D35" s="21"/>
      <c r="E35" s="15"/>
      <c r="G35" s="15"/>
      <c r="I35" s="15"/>
      <c r="K35" s="22"/>
      <c r="M35" s="15"/>
      <c r="N35" s="15"/>
      <c r="O35" s="15"/>
      <c r="P35" s="15"/>
      <c r="Q35" s="15"/>
      <c r="R35" s="15"/>
      <c r="U35" s="15"/>
      <c r="V35" s="15"/>
      <c r="X35" s="15"/>
      <c r="Y35" s="15"/>
      <c r="Z35" s="15"/>
      <c r="AA35" s="15"/>
    </row>
    <row r="36" spans="1:28">
      <c r="A36" s="8">
        <f>+A34+1</f>
        <v>10</v>
      </c>
      <c r="B36" s="8"/>
      <c r="C36" s="23" t="s">
        <v>57</v>
      </c>
      <c r="D36" s="8"/>
      <c r="E36" s="24">
        <v>26333.96</v>
      </c>
      <c r="G36" s="24">
        <v>0</v>
      </c>
      <c r="H36" s="24"/>
      <c r="I36" s="24">
        <f>SUM(E36:H36)</f>
        <v>26333.96</v>
      </c>
      <c r="J36" s="24"/>
      <c r="K36" s="20" t="s">
        <v>24</v>
      </c>
      <c r="L36" s="24"/>
      <c r="M36" s="24">
        <v>0</v>
      </c>
      <c r="N36" s="24"/>
      <c r="O36" s="24">
        <v>0</v>
      </c>
      <c r="P36" s="24"/>
      <c r="Q36" s="24">
        <f>+M36+O36</f>
        <v>0</v>
      </c>
      <c r="R36" s="24"/>
      <c r="S36" s="24"/>
      <c r="T36" s="24">
        <f>+I36+Q36</f>
        <v>26333.96</v>
      </c>
      <c r="U36" s="24"/>
      <c r="V36" s="24">
        <v>0</v>
      </c>
      <c r="W36" s="24"/>
      <c r="X36" s="24">
        <v>0</v>
      </c>
      <c r="Y36" s="24"/>
      <c r="Z36" s="24">
        <v>0</v>
      </c>
      <c r="AB36" s="24">
        <f>+T36+V36+X36+Z36</f>
        <v>26333.96</v>
      </c>
    </row>
    <row r="37" spans="1:28">
      <c r="A37" s="8"/>
      <c r="B37" s="8"/>
      <c r="C37" s="21"/>
      <c r="D37" s="21"/>
      <c r="E37" s="24"/>
      <c r="G37" s="24"/>
      <c r="H37" s="24"/>
      <c r="I37" s="24"/>
      <c r="J37" s="24"/>
      <c r="K37" s="25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B37" s="24"/>
    </row>
    <row r="38" spans="1:28">
      <c r="A38" s="8">
        <f>A36+1</f>
        <v>11</v>
      </c>
      <c r="B38" s="8"/>
      <c r="C38" s="23" t="s">
        <v>58</v>
      </c>
      <c r="D38" s="8"/>
      <c r="E38" s="24">
        <v>10373.790000000001</v>
      </c>
      <c r="G38" s="24">
        <v>0</v>
      </c>
      <c r="H38" s="24"/>
      <c r="I38" s="24">
        <f>SUM(E38:H38)</f>
        <v>10373.790000000001</v>
      </c>
      <c r="J38" s="24"/>
      <c r="K38" s="20" t="s">
        <v>24</v>
      </c>
      <c r="L38" s="24"/>
      <c r="M38" s="24">
        <v>0</v>
      </c>
      <c r="N38" s="24"/>
      <c r="O38" s="24">
        <v>0</v>
      </c>
      <c r="P38" s="24"/>
      <c r="Q38" s="24">
        <f>+M38+O38</f>
        <v>0</v>
      </c>
      <c r="R38" s="24"/>
      <c r="S38" s="24"/>
      <c r="T38" s="24">
        <f>+I38+Q38</f>
        <v>10373.790000000001</v>
      </c>
      <c r="U38" s="24"/>
      <c r="V38" s="24">
        <v>0</v>
      </c>
      <c r="W38" s="24"/>
      <c r="X38" s="24">
        <v>0</v>
      </c>
      <c r="Y38" s="24"/>
      <c r="Z38" s="24">
        <v>0</v>
      </c>
      <c r="AB38" s="24">
        <f t="shared" ref="AB38" si="3">+T38+V38+X38+Z38</f>
        <v>10373.790000000001</v>
      </c>
    </row>
    <row r="39" spans="1:28">
      <c r="A39" s="8"/>
      <c r="B39" s="8"/>
      <c r="C39" s="21"/>
      <c r="D39" s="21"/>
      <c r="E39" s="24"/>
      <c r="G39" s="24"/>
      <c r="H39" s="24"/>
      <c r="I39" s="24"/>
      <c r="J39" s="24"/>
      <c r="K39" s="25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B39" s="24"/>
    </row>
    <row r="40" spans="1:28">
      <c r="A40" s="8">
        <f>+A38+1</f>
        <v>12</v>
      </c>
      <c r="B40" s="8"/>
      <c r="C40" s="23" t="s">
        <v>59</v>
      </c>
      <c r="D40" s="21"/>
      <c r="E40" s="24">
        <v>3924.4700000000003</v>
      </c>
      <c r="G40" s="24">
        <v>0</v>
      </c>
      <c r="H40" s="24"/>
      <c r="I40" s="24">
        <f>SUM(E40:H40)</f>
        <v>3924.4700000000003</v>
      </c>
      <c r="J40" s="24"/>
      <c r="K40" s="20" t="s">
        <v>24</v>
      </c>
      <c r="L40" s="24"/>
      <c r="M40" s="24">
        <v>0</v>
      </c>
      <c r="N40" s="24"/>
      <c r="O40" s="24">
        <v>0</v>
      </c>
      <c r="P40" s="24"/>
      <c r="Q40" s="24">
        <f>+M40+O40</f>
        <v>0</v>
      </c>
      <c r="R40" s="24"/>
      <c r="S40" s="24"/>
      <c r="T40" s="24">
        <f>+I40+Q40</f>
        <v>3924.4700000000003</v>
      </c>
      <c r="U40" s="24"/>
      <c r="V40" s="24">
        <v>0</v>
      </c>
      <c r="W40" s="24"/>
      <c r="X40" s="24">
        <v>0</v>
      </c>
      <c r="Y40" s="24"/>
      <c r="Z40" s="24">
        <v>0</v>
      </c>
      <c r="AB40" s="24">
        <f t="shared" ref="AB40:AB42" si="4">+T40+V40+X40+Z40</f>
        <v>3924.4700000000003</v>
      </c>
    </row>
    <row r="41" spans="1:28">
      <c r="A41" s="8"/>
      <c r="B41" s="8"/>
      <c r="C41" s="23"/>
      <c r="D41" s="21"/>
      <c r="E41" s="24"/>
      <c r="G41" s="24"/>
      <c r="H41" s="24"/>
      <c r="I41" s="24"/>
      <c r="J41" s="24"/>
      <c r="K41" s="20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B41" s="24"/>
    </row>
    <row r="42" spans="1:28">
      <c r="A42" s="8">
        <f>+A40+1</f>
        <v>13</v>
      </c>
      <c r="B42" s="8"/>
      <c r="C42" s="23" t="s">
        <v>60</v>
      </c>
      <c r="D42" s="21"/>
      <c r="E42" s="24">
        <v>3669744</v>
      </c>
      <c r="G42" s="24">
        <v>0</v>
      </c>
      <c r="H42" s="24"/>
      <c r="I42" s="24">
        <f t="shared" ref="I42" si="5">SUM(E42:H42)</f>
        <v>3669744</v>
      </c>
      <c r="J42" s="24"/>
      <c r="K42" s="20" t="s">
        <v>24</v>
      </c>
      <c r="L42" s="24"/>
      <c r="M42" s="24"/>
      <c r="N42" s="24"/>
      <c r="O42" s="24">
        <v>0</v>
      </c>
      <c r="P42" s="24"/>
      <c r="Q42" s="24">
        <f t="shared" ref="Q42" si="6">+M42+O42</f>
        <v>0</v>
      </c>
      <c r="R42" s="24"/>
      <c r="S42" s="24"/>
      <c r="T42" s="24">
        <f t="shared" ref="T42" si="7">+I42+Q42</f>
        <v>3669744</v>
      </c>
      <c r="U42" s="24"/>
      <c r="V42" s="24"/>
      <c r="W42" s="24"/>
      <c r="X42" s="24">
        <v>0</v>
      </c>
      <c r="Y42" s="24"/>
      <c r="Z42" s="24"/>
      <c r="AB42" s="24">
        <f t="shared" si="4"/>
        <v>3669744</v>
      </c>
    </row>
    <row r="43" spans="1:28">
      <c r="A43" s="8"/>
      <c r="B43" s="8"/>
      <c r="C43" s="21"/>
      <c r="D43" s="21"/>
      <c r="E43" s="24"/>
      <c r="G43" s="24"/>
      <c r="H43" s="24"/>
      <c r="I43" s="24"/>
      <c r="J43" s="24"/>
      <c r="K43" s="25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B43" s="24"/>
    </row>
    <row r="44" spans="1:28">
      <c r="A44" s="8">
        <f>+A42+1</f>
        <v>14</v>
      </c>
      <c r="B44" s="8"/>
      <c r="C44" s="18" t="s">
        <v>66</v>
      </c>
      <c r="D44" s="5"/>
      <c r="E44" s="24">
        <v>1611008.07</v>
      </c>
      <c r="G44" s="24">
        <v>0</v>
      </c>
      <c r="H44" s="24"/>
      <c r="I44" s="24">
        <f>SUM(E44:H44)</f>
        <v>1611008.07</v>
      </c>
      <c r="J44" s="24"/>
      <c r="K44" s="20"/>
      <c r="L44" s="24"/>
      <c r="M44" s="24">
        <v>0</v>
      </c>
      <c r="N44" s="24"/>
      <c r="O44" s="24">
        <f>1739663.31-I44</f>
        <v>128655.23999999999</v>
      </c>
      <c r="P44" s="24"/>
      <c r="Q44" s="24">
        <f>+M44+O44</f>
        <v>128655.23999999999</v>
      </c>
      <c r="R44" s="24"/>
      <c r="S44" s="24"/>
      <c r="T44" s="24">
        <f>+I44+Q44</f>
        <v>1739663.31</v>
      </c>
      <c r="U44" s="24"/>
      <c r="V44" s="24">
        <v>0</v>
      </c>
      <c r="W44" s="24"/>
      <c r="X44" s="24">
        <v>0</v>
      </c>
      <c r="Y44" s="24"/>
      <c r="Z44" s="24">
        <v>0</v>
      </c>
      <c r="AB44" s="24">
        <f t="shared" ref="AB44" si="8">+T44+V44+X44+Z44</f>
        <v>1739663.31</v>
      </c>
    </row>
    <row r="45" spans="1:28">
      <c r="A45" s="8"/>
      <c r="B45" s="8"/>
      <c r="C45" s="21"/>
      <c r="D45" s="21"/>
      <c r="E45" s="24"/>
      <c r="G45" s="24"/>
      <c r="H45" s="24"/>
      <c r="I45" s="24"/>
      <c r="J45" s="24"/>
      <c r="K45" s="25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B45" s="24"/>
    </row>
    <row r="46" spans="1:28">
      <c r="A46" s="8">
        <f>A44+1</f>
        <v>15</v>
      </c>
      <c r="B46" s="8"/>
      <c r="C46" s="18" t="s">
        <v>67</v>
      </c>
      <c r="D46" s="5"/>
      <c r="E46" s="27">
        <v>0</v>
      </c>
      <c r="G46" s="27">
        <v>0</v>
      </c>
      <c r="H46" s="24"/>
      <c r="I46" s="27">
        <f>SUM(E46:H46)</f>
        <v>0</v>
      </c>
      <c r="J46" s="24"/>
      <c r="K46" s="20" t="s">
        <v>24</v>
      </c>
      <c r="L46" s="24"/>
      <c r="M46" s="27">
        <v>0</v>
      </c>
      <c r="N46" s="24"/>
      <c r="O46" s="27">
        <v>0</v>
      </c>
      <c r="P46" s="24"/>
      <c r="Q46" s="27">
        <f>+M46+O46</f>
        <v>0</v>
      </c>
      <c r="R46" s="24"/>
      <c r="S46" s="24"/>
      <c r="T46" s="27">
        <f>+I46+Q46</f>
        <v>0</v>
      </c>
      <c r="U46" s="24"/>
      <c r="V46" s="27">
        <v>0</v>
      </c>
      <c r="W46" s="24"/>
      <c r="X46" s="27">
        <v>0</v>
      </c>
      <c r="Y46" s="24"/>
      <c r="Z46" s="27">
        <v>0</v>
      </c>
      <c r="AB46" s="27">
        <f t="shared" ref="AB46" si="9">+T46+V46+X46+Z46</f>
        <v>0</v>
      </c>
    </row>
    <row r="47" spans="1:28">
      <c r="A47" s="8"/>
      <c r="B47" s="8"/>
      <c r="C47" s="21"/>
      <c r="D47" s="21"/>
      <c r="E47" s="15"/>
      <c r="G47" s="15"/>
      <c r="I47" s="15"/>
      <c r="K47" s="22"/>
      <c r="M47" s="15"/>
      <c r="N47" s="15"/>
      <c r="O47" s="15"/>
      <c r="P47" s="15"/>
      <c r="Q47" s="15"/>
      <c r="R47" s="15"/>
      <c r="T47" s="15"/>
      <c r="U47" s="15"/>
      <c r="V47" s="15"/>
      <c r="X47" s="15"/>
      <c r="Y47" s="15"/>
      <c r="Z47" s="15"/>
      <c r="AA47" s="15"/>
      <c r="AB47" s="15"/>
    </row>
    <row r="48" spans="1:28" ht="18.75" thickBot="1">
      <c r="A48" s="8">
        <f>A46+1</f>
        <v>16</v>
      </c>
      <c r="B48" s="8"/>
      <c r="C48" s="18" t="s">
        <v>63</v>
      </c>
      <c r="D48" s="5"/>
      <c r="E48" s="28">
        <f>SUM(E34:E47)</f>
        <v>5418390.4100000001</v>
      </c>
      <c r="G48" s="28">
        <f>SUM(G34:G47)</f>
        <v>0</v>
      </c>
      <c r="I48" s="28">
        <f>SUM(I34:I47)</f>
        <v>5418390.4100000001</v>
      </c>
      <c r="K48" s="29"/>
      <c r="M48" s="28">
        <f>SUM(M34:M47)</f>
        <v>0</v>
      </c>
      <c r="N48" s="30"/>
      <c r="O48" s="28">
        <f>SUM(O34:O47)</f>
        <v>128655.23999999999</v>
      </c>
      <c r="P48" s="30"/>
      <c r="Q48" s="28">
        <f>SUM(Q34:Q47)</f>
        <v>128655.23999999999</v>
      </c>
      <c r="R48" s="31" t="s">
        <v>68</v>
      </c>
      <c r="T48" s="28">
        <f>SUM(T34:T47)</f>
        <v>5547045.6500000004</v>
      </c>
      <c r="U48" s="30"/>
      <c r="V48" s="28">
        <f>SUM(V34:V47)</f>
        <v>0</v>
      </c>
      <c r="X48" s="28">
        <f>SUM(X34:X47)</f>
        <v>0</v>
      </c>
      <c r="Y48" s="30"/>
      <c r="Z48" s="28">
        <f>SUM(Z34:Z47)</f>
        <v>0</v>
      </c>
      <c r="AA48" s="30"/>
      <c r="AB48" s="28">
        <f>SUM(AB34:AB47)</f>
        <v>5547045.6500000004</v>
      </c>
    </row>
    <row r="49" spans="3:9" ht="13.5" thickTop="1">
      <c r="G49" s="15"/>
      <c r="I49" s="15"/>
    </row>
    <row r="50" spans="3:9">
      <c r="E50" s="24"/>
    </row>
    <row r="51" spans="3:9">
      <c r="E51" s="24"/>
    </row>
    <row r="52" spans="3:9">
      <c r="E52" s="34"/>
    </row>
    <row r="53" spans="3:9">
      <c r="C53" s="21"/>
      <c r="D53" s="21"/>
      <c r="E53" s="24"/>
    </row>
    <row r="54" spans="3:9">
      <c r="E54" s="24"/>
    </row>
    <row r="55" spans="3:9">
      <c r="E55" s="24"/>
    </row>
    <row r="56" spans="3:9">
      <c r="E56" s="24"/>
    </row>
    <row r="57" spans="3:9">
      <c r="E57" s="24"/>
    </row>
    <row r="58" spans="3:9">
      <c r="E58" s="24"/>
    </row>
    <row r="59" spans="3:9">
      <c r="E59" s="24"/>
    </row>
    <row r="60" spans="3:9">
      <c r="E60" s="24"/>
    </row>
    <row r="61" spans="3:9">
      <c r="E61" s="24"/>
    </row>
    <row r="62" spans="3:9">
      <c r="E62" s="24"/>
    </row>
    <row r="63" spans="3:9">
      <c r="E63" s="24"/>
    </row>
    <row r="64" spans="3:9">
      <c r="E64" s="15"/>
    </row>
    <row r="65" spans="5:5">
      <c r="E65" s="19"/>
    </row>
    <row r="66" spans="5:5">
      <c r="E66" s="15"/>
    </row>
    <row r="67" spans="5:5">
      <c r="E67" s="15"/>
    </row>
    <row r="68" spans="5:5">
      <c r="E68" s="35"/>
    </row>
    <row r="69" spans="5:5">
      <c r="E69" s="15"/>
    </row>
    <row r="70" spans="5:5">
      <c r="E70" s="15"/>
    </row>
    <row r="71" spans="5:5">
      <c r="E71" s="15"/>
    </row>
  </sheetData>
  <mergeCells count="4">
    <mergeCell ref="A1:AB1"/>
    <mergeCell ref="A2:AB2"/>
    <mergeCell ref="A3:AB3"/>
    <mergeCell ref="K8:O8"/>
  </mergeCells>
  <phoneticPr fontId="0" type="noConversion"/>
  <printOptions horizontalCentered="1"/>
  <pageMargins left="1" right="1" top="1" bottom="1" header="0.3" footer="0.3"/>
  <pageSetup scale="70"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BU342"/>
  <sheetViews>
    <sheetView tabSelected="1" zoomScale="80" zoomScaleNormal="80" workbookViewId="0">
      <pane xSplit="6" ySplit="10" topLeftCell="G11" activePane="bottomRight" state="frozen"/>
      <selection activeCell="C12" sqref="C12"/>
      <selection pane="topRight" activeCell="C12" sqref="C12"/>
      <selection pane="bottomLeft" activeCell="C12" sqref="C12"/>
      <selection pane="bottomRight" activeCell="C12" sqref="C12"/>
    </sheetView>
  </sheetViews>
  <sheetFormatPr defaultColWidth="9" defaultRowHeight="12.75"/>
  <cols>
    <col min="1" max="1" width="5.875" style="1" customWidth="1"/>
    <col min="2" max="2" width="1.125" style="1" customWidth="1"/>
    <col min="3" max="3" width="10.875" style="1" customWidth="1"/>
    <col min="4" max="4" width="1.25" style="1" customWidth="1"/>
    <col min="5" max="5" width="58.875" style="1" bestFit="1" customWidth="1"/>
    <col min="6" max="6" width="0.875" style="1" customWidth="1"/>
    <col min="7" max="7" width="17.75" style="3" bestFit="1" customWidth="1"/>
    <col min="8" max="8" width="1.125" style="1" customWidth="1"/>
    <col min="9" max="9" width="17.375" style="1" customWidth="1"/>
    <col min="10" max="10" width="1" style="1" customWidth="1"/>
    <col min="11" max="11" width="19.125" style="1" customWidth="1"/>
    <col min="12" max="12" width="1.125" style="1" customWidth="1"/>
    <col min="13" max="13" width="8.25" style="1" customWidth="1"/>
    <col min="14" max="14" width="1.75" style="1" hidden="1" customWidth="1"/>
    <col min="15" max="15" width="9" style="1" hidden="1" customWidth="1"/>
    <col min="16" max="16" width="2.75" style="1" customWidth="1"/>
    <col min="17" max="17" width="17.625" style="1" customWidth="1"/>
    <col min="18" max="18" width="1.25" style="1" customWidth="1"/>
    <col min="19" max="19" width="16.375" style="1" bestFit="1" customWidth="1"/>
    <col min="20" max="20" width="5.375" style="1" customWidth="1"/>
    <col min="21" max="21" width="1.125" style="1" customWidth="1"/>
    <col min="22" max="22" width="17.75" style="1" bestFit="1" customWidth="1"/>
    <col min="23" max="23" width="1" style="1" customWidth="1"/>
    <col min="24" max="24" width="15.375" style="1" hidden="1" customWidth="1"/>
    <col min="25" max="25" width="2" style="1" hidden="1" customWidth="1"/>
    <col min="26" max="26" width="15.25" style="1" bestFit="1" customWidth="1"/>
    <col min="27" max="27" width="2.25" style="1" hidden="1" customWidth="1"/>
    <col min="28" max="28" width="14.25" style="1" hidden="1" customWidth="1"/>
    <col min="29" max="29" width="1.125" style="1" customWidth="1"/>
    <col min="30" max="30" width="17.875" style="1" customWidth="1"/>
    <col min="31" max="31" width="13.75" style="1" bestFit="1" customWidth="1"/>
    <col min="32" max="32" width="11.875" style="1" bestFit="1" customWidth="1"/>
    <col min="33" max="16384" width="9" style="1"/>
  </cols>
  <sheetData>
    <row r="1" spans="1:73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73">
      <c r="A2" s="231" t="s">
        <v>69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73">
      <c r="A3" s="234" t="str">
        <f>OthOpRev451_454_456!A3</f>
        <v>For Twelve Months Ended December 31, 2025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</row>
    <row r="4" spans="1:73">
      <c r="A4" s="46"/>
      <c r="B4" s="46"/>
      <c r="C4" s="46"/>
      <c r="D4" s="46"/>
      <c r="E4" s="46"/>
      <c r="F4" s="46"/>
      <c r="G4" s="46"/>
    </row>
    <row r="5" spans="1:73">
      <c r="A5" s="46"/>
      <c r="B5" s="46"/>
      <c r="C5" s="46"/>
      <c r="D5" s="46"/>
      <c r="E5" s="46"/>
      <c r="F5" s="46"/>
      <c r="G5" s="46"/>
    </row>
    <row r="6" spans="1:73">
      <c r="A6" s="46"/>
      <c r="B6" s="46"/>
      <c r="C6" s="46"/>
      <c r="D6" s="46"/>
      <c r="E6" s="46"/>
      <c r="F6" s="46"/>
      <c r="G6" s="46"/>
    </row>
    <row r="7" spans="1:73">
      <c r="A7" s="2">
        <v>-1</v>
      </c>
      <c r="B7" s="47"/>
      <c r="C7" s="2">
        <v>-2</v>
      </c>
      <c r="D7" s="47"/>
      <c r="E7" s="2">
        <v>-3</v>
      </c>
      <c r="F7" s="4"/>
      <c r="G7" s="2">
        <v>-4</v>
      </c>
      <c r="I7" s="2">
        <v>-5</v>
      </c>
      <c r="J7" s="2"/>
      <c r="K7" s="2">
        <v>-6</v>
      </c>
      <c r="L7" s="3"/>
      <c r="M7" s="2">
        <v>-7</v>
      </c>
      <c r="N7" s="2"/>
      <c r="O7" s="2">
        <v>-8</v>
      </c>
      <c r="P7" s="2"/>
      <c r="Q7" s="2">
        <v>-8</v>
      </c>
      <c r="R7" s="2"/>
      <c r="S7" s="2">
        <v>-9</v>
      </c>
      <c r="T7" s="2"/>
      <c r="U7" s="2"/>
      <c r="V7" s="2">
        <v>-10</v>
      </c>
      <c r="W7" s="2"/>
      <c r="X7" s="2">
        <v>-12</v>
      </c>
      <c r="Y7" s="2"/>
      <c r="Z7" s="2">
        <v>-11</v>
      </c>
      <c r="AA7" s="2"/>
      <c r="AB7" s="2">
        <v>-14</v>
      </c>
      <c r="AD7" s="2">
        <v>-12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>
      <c r="A8" s="8"/>
      <c r="C8" s="8" t="s">
        <v>70</v>
      </c>
      <c r="D8" s="8"/>
      <c r="F8" s="8"/>
      <c r="G8" s="5"/>
      <c r="H8" s="3"/>
      <c r="I8" s="3"/>
      <c r="J8" s="3"/>
      <c r="L8" s="3"/>
      <c r="M8" s="232" t="s">
        <v>3</v>
      </c>
      <c r="N8" s="232"/>
      <c r="O8" s="232"/>
      <c r="P8" s="232"/>
      <c r="Q8" s="232"/>
      <c r="R8" s="6"/>
      <c r="S8" s="3"/>
      <c r="T8" s="3"/>
      <c r="U8" s="3"/>
      <c r="V8" s="7" t="s">
        <v>4</v>
      </c>
      <c r="W8" s="3"/>
      <c r="X8" s="3"/>
      <c r="Y8" s="5"/>
      <c r="Z8" s="5"/>
      <c r="AA8" s="5"/>
      <c r="AC8" s="5"/>
    </row>
    <row r="9" spans="1:73">
      <c r="A9" s="8" t="s">
        <v>71</v>
      </c>
      <c r="B9" s="8"/>
      <c r="C9" s="8" t="s">
        <v>72</v>
      </c>
      <c r="D9" s="8"/>
      <c r="F9" s="8"/>
      <c r="G9" s="5">
        <v>2024</v>
      </c>
      <c r="H9" s="3"/>
      <c r="I9" s="5">
        <v>2024</v>
      </c>
      <c r="J9" s="3"/>
      <c r="K9" s="5">
        <v>2024</v>
      </c>
      <c r="L9" s="6"/>
      <c r="M9" s="5">
        <v>2024</v>
      </c>
      <c r="N9" s="6"/>
      <c r="O9" s="6" t="s">
        <v>6</v>
      </c>
      <c r="P9" s="6"/>
      <c r="Q9" s="6"/>
      <c r="R9" s="6"/>
      <c r="S9" s="6"/>
      <c r="T9" s="6" t="s">
        <v>7</v>
      </c>
      <c r="U9" s="6"/>
      <c r="V9" s="9" t="s">
        <v>8</v>
      </c>
      <c r="W9" s="6"/>
      <c r="X9" s="6"/>
      <c r="Y9" s="6"/>
      <c r="Z9" s="8"/>
      <c r="AA9" s="5"/>
      <c r="AB9" s="8" t="s">
        <v>9</v>
      </c>
      <c r="AC9" s="8"/>
      <c r="AD9" s="5" t="s">
        <v>4</v>
      </c>
    </row>
    <row r="10" spans="1:73" ht="11.25" customHeight="1">
      <c r="A10" s="10" t="s">
        <v>73</v>
      </c>
      <c r="B10" s="8"/>
      <c r="C10" s="10" t="s">
        <v>74</v>
      </c>
      <c r="D10" s="8"/>
      <c r="E10" s="10" t="s">
        <v>75</v>
      </c>
      <c r="F10" s="48"/>
      <c r="G10" s="11" t="s">
        <v>12</v>
      </c>
      <c r="H10" s="3"/>
      <c r="I10" s="12" t="s">
        <v>13</v>
      </c>
      <c r="J10" s="6"/>
      <c r="K10" s="13" t="s">
        <v>14</v>
      </c>
      <c r="L10" s="6"/>
      <c r="M10" s="13" t="s">
        <v>14</v>
      </c>
      <c r="N10" s="6"/>
      <c r="O10" s="13" t="s">
        <v>15</v>
      </c>
      <c r="P10" s="6"/>
      <c r="Q10" s="14" t="s">
        <v>16</v>
      </c>
      <c r="R10" s="9"/>
      <c r="S10" s="13" t="s">
        <v>17</v>
      </c>
      <c r="T10" s="13" t="s">
        <v>10</v>
      </c>
      <c r="U10" s="6"/>
      <c r="V10" s="14" t="s">
        <v>18</v>
      </c>
      <c r="W10" s="6"/>
      <c r="X10" s="13" t="s">
        <v>19</v>
      </c>
      <c r="Y10" s="6"/>
      <c r="Z10" s="10" t="s">
        <v>20</v>
      </c>
      <c r="AA10" s="8"/>
      <c r="AB10" s="10" t="s">
        <v>21</v>
      </c>
      <c r="AC10" s="8"/>
      <c r="AD10" s="10" t="s">
        <v>18</v>
      </c>
    </row>
    <row r="11" spans="1:73">
      <c r="A11" s="8"/>
      <c r="C11" s="21" t="s">
        <v>76</v>
      </c>
      <c r="D11" s="21"/>
    </row>
    <row r="12" spans="1:73">
      <c r="A12" s="8"/>
      <c r="C12" s="21" t="s">
        <v>77</v>
      </c>
      <c r="D12" s="21"/>
    </row>
    <row r="13" spans="1:73">
      <c r="A13" s="8"/>
      <c r="C13" s="21" t="s">
        <v>78</v>
      </c>
      <c r="D13" s="21"/>
    </row>
    <row r="14" spans="1:73">
      <c r="A14" s="8">
        <v>1</v>
      </c>
      <c r="B14" s="8"/>
      <c r="C14" s="8" t="s">
        <v>79</v>
      </c>
      <c r="D14" s="8"/>
      <c r="E14" s="39" t="s">
        <v>80</v>
      </c>
      <c r="F14" s="49"/>
      <c r="G14" s="19">
        <v>954515.64</v>
      </c>
      <c r="I14" s="19">
        <v>-283105</v>
      </c>
      <c r="K14" s="19">
        <f t="shared" ref="K14:K19" si="0">SUM(G14:J14)</f>
        <v>671410.64</v>
      </c>
      <c r="M14" s="19"/>
      <c r="N14" s="19"/>
      <c r="O14" s="19">
        <v>0</v>
      </c>
      <c r="Q14" s="19">
        <v>1123</v>
      </c>
      <c r="S14" s="19">
        <f>+M14+Q14</f>
        <v>1123</v>
      </c>
      <c r="T14" s="19"/>
      <c r="V14" s="19">
        <f>+K14+S14</f>
        <v>672533.64</v>
      </c>
      <c r="W14" s="19"/>
      <c r="X14" s="19">
        <v>0</v>
      </c>
      <c r="Y14" s="19"/>
      <c r="Z14" s="19">
        <v>8760</v>
      </c>
      <c r="AB14" s="19">
        <v>0</v>
      </c>
      <c r="AD14" s="19">
        <f>+V14+X14+Z14+AB14</f>
        <v>681293.64</v>
      </c>
    </row>
    <row r="15" spans="1:73">
      <c r="A15" s="8">
        <v>2</v>
      </c>
      <c r="B15" s="8"/>
      <c r="C15" s="8" t="s">
        <v>81</v>
      </c>
      <c r="D15" s="8"/>
      <c r="E15" s="39" t="s">
        <v>82</v>
      </c>
      <c r="F15" s="15"/>
      <c r="G15" s="50">
        <v>0</v>
      </c>
      <c r="H15" s="51"/>
      <c r="I15" s="50">
        <v>0</v>
      </c>
      <c r="J15" s="51"/>
      <c r="K15" s="50">
        <f t="shared" si="0"/>
        <v>0</v>
      </c>
      <c r="L15" s="51"/>
      <c r="M15" s="50"/>
      <c r="N15" s="50"/>
      <c r="O15" s="50">
        <f>-M15</f>
        <v>0</v>
      </c>
      <c r="P15" s="50"/>
      <c r="Q15" s="50">
        <v>0</v>
      </c>
      <c r="R15" s="50"/>
      <c r="S15" s="50">
        <f t="shared" ref="S15:S19" si="1">+M15+Q15</f>
        <v>0</v>
      </c>
      <c r="T15" s="50"/>
      <c r="U15" s="50"/>
      <c r="V15" s="50">
        <f t="shared" ref="V15:V19" si="2">+K15+S15</f>
        <v>0</v>
      </c>
      <c r="W15" s="50"/>
      <c r="X15" s="50">
        <v>0</v>
      </c>
      <c r="Y15" s="50"/>
      <c r="Z15" s="50">
        <v>0</v>
      </c>
      <c r="AA15" s="50"/>
      <c r="AB15" s="50">
        <v>0</v>
      </c>
      <c r="AC15" s="50"/>
      <c r="AD15" s="50">
        <f t="shared" ref="AD15:AD19" si="3">+V15+X15+Z15+AB15</f>
        <v>0</v>
      </c>
    </row>
    <row r="16" spans="1:73">
      <c r="A16" s="8">
        <v>3</v>
      </c>
      <c r="B16" s="8"/>
      <c r="C16" s="8" t="s">
        <v>83</v>
      </c>
      <c r="D16" s="8"/>
      <c r="E16" s="39" t="s">
        <v>84</v>
      </c>
      <c r="F16" s="15"/>
      <c r="G16" s="24">
        <v>8856795.5099999998</v>
      </c>
      <c r="I16" s="24">
        <v>-4095143</v>
      </c>
      <c r="K16" s="24">
        <f t="shared" si="0"/>
        <v>4761652.51</v>
      </c>
      <c r="M16" s="24"/>
      <c r="N16" s="24"/>
      <c r="O16" s="24">
        <v>0</v>
      </c>
      <c r="P16" s="24"/>
      <c r="Q16" s="24">
        <v>0</v>
      </c>
      <c r="R16" s="24"/>
      <c r="S16" s="24">
        <f t="shared" si="1"/>
        <v>0</v>
      </c>
      <c r="T16" s="24"/>
      <c r="U16" s="24"/>
      <c r="V16" s="24">
        <f t="shared" si="2"/>
        <v>4761652.51</v>
      </c>
      <c r="W16" s="24"/>
      <c r="X16" s="24">
        <v>0</v>
      </c>
      <c r="Y16" s="24"/>
      <c r="Z16" s="24">
        <v>0</v>
      </c>
      <c r="AA16" s="24"/>
      <c r="AB16" s="24">
        <v>0</v>
      </c>
      <c r="AC16" s="24"/>
      <c r="AD16" s="24">
        <f t="shared" si="3"/>
        <v>4761652.51</v>
      </c>
    </row>
    <row r="17" spans="1:30">
      <c r="A17" s="8">
        <v>4</v>
      </c>
      <c r="B17" s="8"/>
      <c r="C17" s="8" t="s">
        <v>85</v>
      </c>
      <c r="D17" s="8"/>
      <c r="E17" s="39" t="s">
        <v>86</v>
      </c>
      <c r="F17" s="15"/>
      <c r="G17" s="24">
        <v>1752548.58</v>
      </c>
      <c r="I17" s="24">
        <v>0</v>
      </c>
      <c r="K17" s="24">
        <f t="shared" si="0"/>
        <v>1752548.58</v>
      </c>
      <c r="M17" s="24"/>
      <c r="N17" s="24"/>
      <c r="O17" s="24">
        <v>0</v>
      </c>
      <c r="P17" s="24"/>
      <c r="Q17" s="24">
        <v>0</v>
      </c>
      <c r="R17" s="24"/>
      <c r="S17" s="24">
        <f t="shared" si="1"/>
        <v>0</v>
      </c>
      <c r="T17" s="24"/>
      <c r="U17" s="24"/>
      <c r="V17" s="24">
        <f t="shared" si="2"/>
        <v>1752548.58</v>
      </c>
      <c r="W17" s="24"/>
      <c r="X17" s="24">
        <v>0</v>
      </c>
      <c r="Y17" s="24"/>
      <c r="Z17" s="24">
        <v>0</v>
      </c>
      <c r="AA17" s="24"/>
      <c r="AB17" s="24">
        <v>0</v>
      </c>
      <c r="AC17" s="24"/>
      <c r="AD17" s="24">
        <f t="shared" si="3"/>
        <v>1752548.58</v>
      </c>
    </row>
    <row r="18" spans="1:30">
      <c r="A18" s="8">
        <v>5</v>
      </c>
      <c r="B18" s="8"/>
      <c r="C18" s="8" t="s">
        <v>87</v>
      </c>
      <c r="D18" s="8"/>
      <c r="E18" s="39" t="s">
        <v>88</v>
      </c>
      <c r="F18" s="15"/>
      <c r="G18" s="24">
        <v>8027359.54</v>
      </c>
      <c r="I18" s="24">
        <v>-6754326</v>
      </c>
      <c r="K18" s="24">
        <f t="shared" si="0"/>
        <v>1273033.54</v>
      </c>
      <c r="M18" s="24"/>
      <c r="N18" s="24"/>
      <c r="O18" s="24">
        <v>0</v>
      </c>
      <c r="P18" s="24"/>
      <c r="Q18" s="24">
        <v>28</v>
      </c>
      <c r="R18" s="24"/>
      <c r="S18" s="24">
        <f t="shared" si="1"/>
        <v>28</v>
      </c>
      <c r="T18" s="24"/>
      <c r="U18" s="24"/>
      <c r="V18" s="24">
        <f t="shared" si="2"/>
        <v>1273061.54</v>
      </c>
      <c r="W18" s="24"/>
      <c r="X18" s="24">
        <v>0</v>
      </c>
      <c r="Y18" s="24"/>
      <c r="Z18" s="24">
        <v>217</v>
      </c>
      <c r="AA18" s="24"/>
      <c r="AB18" s="24">
        <v>0</v>
      </c>
      <c r="AC18" s="24"/>
      <c r="AD18" s="24">
        <f t="shared" si="3"/>
        <v>1273278.54</v>
      </c>
    </row>
    <row r="19" spans="1:30">
      <c r="A19" s="8">
        <v>6</v>
      </c>
      <c r="B19" s="8"/>
      <c r="C19" s="8" t="s">
        <v>89</v>
      </c>
      <c r="D19" s="8"/>
      <c r="E19" s="39" t="s">
        <v>90</v>
      </c>
      <c r="F19" s="15"/>
      <c r="G19" s="27">
        <v>223831.62</v>
      </c>
      <c r="I19" s="27">
        <v>-223832</v>
      </c>
      <c r="K19" s="27">
        <f t="shared" si="0"/>
        <v>-0.38000000000465661</v>
      </c>
      <c r="M19" s="24"/>
      <c r="N19" s="24"/>
      <c r="O19" s="27">
        <v>0</v>
      </c>
      <c r="P19" s="24"/>
      <c r="Q19" s="27">
        <v>0</v>
      </c>
      <c r="R19" s="24"/>
      <c r="S19" s="27">
        <f t="shared" si="1"/>
        <v>0</v>
      </c>
      <c r="T19" s="24"/>
      <c r="U19" s="24"/>
      <c r="V19" s="27">
        <f t="shared" si="2"/>
        <v>-0.38000000000465661</v>
      </c>
      <c r="W19" s="24"/>
      <c r="X19" s="27">
        <v>0</v>
      </c>
      <c r="Y19" s="24"/>
      <c r="Z19" s="27">
        <v>0</v>
      </c>
      <c r="AA19" s="24"/>
      <c r="AB19" s="27">
        <v>0</v>
      </c>
      <c r="AC19" s="24"/>
      <c r="AD19" s="27">
        <f t="shared" si="3"/>
        <v>-0.38000000000465661</v>
      </c>
    </row>
    <row r="20" spans="1:30">
      <c r="A20" s="8"/>
      <c r="E20" s="52"/>
      <c r="G20" s="24"/>
      <c r="I20" s="24"/>
      <c r="K20" s="24"/>
      <c r="M20" s="24"/>
      <c r="N20" s="24"/>
      <c r="O20" s="24"/>
      <c r="Q20" s="24"/>
      <c r="V20" s="24"/>
      <c r="W20" s="24"/>
      <c r="X20" s="24"/>
      <c r="Y20" s="24"/>
      <c r="Z20" s="24"/>
      <c r="AB20" s="24"/>
      <c r="AD20" s="24"/>
    </row>
    <row r="21" spans="1:30">
      <c r="A21" s="8">
        <v>7</v>
      </c>
      <c r="B21" s="8"/>
      <c r="C21" s="233" t="s">
        <v>91</v>
      </c>
      <c r="D21" s="233"/>
      <c r="E21" s="233"/>
      <c r="F21" s="15"/>
      <c r="G21" s="27">
        <f>SUM(G14:G20)</f>
        <v>19815050.890000001</v>
      </c>
      <c r="I21" s="27">
        <f>SUM(I14:I20)</f>
        <v>-11356406</v>
      </c>
      <c r="K21" s="27">
        <f>SUM(K14:K20)</f>
        <v>8458644.8899999987</v>
      </c>
      <c r="M21" s="24"/>
      <c r="N21" s="24"/>
      <c r="O21" s="27">
        <f>SUM(O14:O20)</f>
        <v>0</v>
      </c>
      <c r="Q21" s="27">
        <f>SUM(Q14:Q20)</f>
        <v>1151</v>
      </c>
      <c r="S21" s="27">
        <f>SUM(S14:S20)</f>
        <v>1151</v>
      </c>
      <c r="T21" s="24"/>
      <c r="V21" s="27">
        <f>SUM(V14:V20)</f>
        <v>8459795.8899999987</v>
      </c>
      <c r="W21" s="24"/>
      <c r="X21" s="27">
        <f>SUM(X14:X20)</f>
        <v>0</v>
      </c>
      <c r="Y21" s="24"/>
      <c r="Z21" s="27">
        <f>SUM(Z14:Z20)</f>
        <v>8977</v>
      </c>
      <c r="AB21" s="27">
        <f>SUM(AB14:AB20)</f>
        <v>0</v>
      </c>
      <c r="AD21" s="27">
        <f>SUM(AD14:AD20)</f>
        <v>8468772.8899999987</v>
      </c>
    </row>
    <row r="22" spans="1:30">
      <c r="A22" s="8" t="s">
        <v>92</v>
      </c>
      <c r="B22" s="21"/>
      <c r="C22" s="21" t="s">
        <v>92</v>
      </c>
      <c r="D22" s="21"/>
      <c r="E22" s="52"/>
      <c r="G22" s="24"/>
      <c r="I22" s="24"/>
      <c r="K22" s="24"/>
      <c r="M22" s="24"/>
      <c r="N22" s="24"/>
      <c r="O22" s="24"/>
      <c r="Q22" s="24"/>
      <c r="V22" s="24"/>
      <c r="W22" s="24"/>
      <c r="X22" s="24"/>
      <c r="Y22" s="24"/>
      <c r="Z22" s="24"/>
      <c r="AB22" s="24"/>
      <c r="AD22" s="24"/>
    </row>
    <row r="23" spans="1:30">
      <c r="A23" s="8"/>
      <c r="C23" s="21" t="s">
        <v>93</v>
      </c>
      <c r="D23" s="21"/>
      <c r="E23" s="52"/>
      <c r="G23" s="24"/>
      <c r="I23" s="24"/>
      <c r="K23" s="24"/>
      <c r="M23" s="24"/>
      <c r="N23" s="24"/>
      <c r="O23" s="24"/>
      <c r="Q23" s="24"/>
      <c r="V23" s="24"/>
      <c r="W23" s="24"/>
      <c r="X23" s="24"/>
      <c r="Y23" s="24"/>
      <c r="Z23" s="24"/>
      <c r="AB23" s="24"/>
      <c r="AD23" s="24"/>
    </row>
    <row r="24" spans="1:30">
      <c r="A24" s="8">
        <v>8</v>
      </c>
      <c r="B24" s="8"/>
      <c r="C24" s="8" t="s">
        <v>94</v>
      </c>
      <c r="D24" s="8"/>
      <c r="E24" s="39" t="s">
        <v>95</v>
      </c>
      <c r="F24" s="15"/>
      <c r="G24" s="24">
        <v>52860.97</v>
      </c>
      <c r="I24" s="24">
        <v>-52861</v>
      </c>
      <c r="K24" s="24">
        <f>SUM(G24:J24)</f>
        <v>-2.9999999998835847E-2</v>
      </c>
      <c r="M24" s="24"/>
      <c r="N24" s="24"/>
      <c r="O24" s="24">
        <v>0</v>
      </c>
      <c r="P24" s="24"/>
      <c r="Q24" s="24">
        <v>0</v>
      </c>
      <c r="R24" s="24"/>
      <c r="S24" s="24">
        <f>+M24+Q24</f>
        <v>0</v>
      </c>
      <c r="T24" s="24"/>
      <c r="U24" s="24"/>
      <c r="V24" s="24">
        <f>+K24+S24</f>
        <v>-2.9999999998835847E-2</v>
      </c>
      <c r="W24" s="24"/>
      <c r="X24" s="24">
        <v>0</v>
      </c>
      <c r="Y24" s="24"/>
      <c r="Z24" s="24">
        <v>0</v>
      </c>
      <c r="AA24" s="24"/>
      <c r="AB24" s="24">
        <v>0</v>
      </c>
      <c r="AC24" s="24"/>
      <c r="AD24" s="24">
        <f t="shared" ref="AD24:AD28" si="4">+V24+X24+Z24+AB24</f>
        <v>-2.9999999998835847E-2</v>
      </c>
    </row>
    <row r="25" spans="1:30">
      <c r="A25" s="8">
        <v>9</v>
      </c>
      <c r="B25" s="8"/>
      <c r="C25" s="8" t="s">
        <v>96</v>
      </c>
      <c r="D25" s="8"/>
      <c r="E25" s="39" t="s">
        <v>97</v>
      </c>
      <c r="F25" s="15"/>
      <c r="G25" s="24">
        <v>355730.84</v>
      </c>
      <c r="I25" s="24">
        <v>0</v>
      </c>
      <c r="K25" s="24">
        <f>SUM(G25:J25)</f>
        <v>355730.84</v>
      </c>
      <c r="M25" s="24"/>
      <c r="N25" s="24"/>
      <c r="O25" s="24">
        <v>0</v>
      </c>
      <c r="P25" s="24"/>
      <c r="Q25" s="24">
        <v>0</v>
      </c>
      <c r="R25" s="24"/>
      <c r="S25" s="24">
        <f>+M25+Q25</f>
        <v>0</v>
      </c>
      <c r="T25" s="24"/>
      <c r="U25" s="24"/>
      <c r="V25" s="24">
        <f>+K25+S25</f>
        <v>355730.84</v>
      </c>
      <c r="W25" s="24"/>
      <c r="X25" s="24">
        <v>0</v>
      </c>
      <c r="Y25" s="24"/>
      <c r="Z25" s="24">
        <v>0</v>
      </c>
      <c r="AA25" s="24"/>
      <c r="AB25" s="24">
        <v>0</v>
      </c>
      <c r="AC25" s="24"/>
      <c r="AD25" s="24">
        <f t="shared" si="4"/>
        <v>355730.84</v>
      </c>
    </row>
    <row r="26" spans="1:30">
      <c r="A26" s="8">
        <v>10</v>
      </c>
      <c r="B26" s="8"/>
      <c r="C26" s="8" t="s">
        <v>98</v>
      </c>
      <c r="D26" s="8"/>
      <c r="E26" s="39" t="s">
        <v>99</v>
      </c>
      <c r="F26" s="15"/>
      <c r="G26" s="24">
        <v>8521483.2899999991</v>
      </c>
      <c r="I26" s="24">
        <v>-6614610</v>
      </c>
      <c r="K26" s="24">
        <f>SUM(G26:J26)</f>
        <v>1906873.2899999991</v>
      </c>
      <c r="M26" s="24"/>
      <c r="N26" s="24"/>
      <c r="O26" s="24">
        <v>0</v>
      </c>
      <c r="P26" s="24"/>
      <c r="Q26" s="24">
        <v>0</v>
      </c>
      <c r="R26" s="24"/>
      <c r="S26" s="24">
        <f>+M26+Q26</f>
        <v>0</v>
      </c>
      <c r="T26" s="24"/>
      <c r="U26" s="24"/>
      <c r="V26" s="24">
        <f>+K26+S26</f>
        <v>1906873.2899999991</v>
      </c>
      <c r="W26" s="24"/>
      <c r="X26" s="24">
        <v>0</v>
      </c>
      <c r="Y26" s="24"/>
      <c r="Z26" s="24">
        <v>0</v>
      </c>
      <c r="AA26" s="24"/>
      <c r="AB26" s="24">
        <v>0</v>
      </c>
      <c r="AC26" s="24"/>
      <c r="AD26" s="24">
        <f t="shared" si="4"/>
        <v>1906873.2899999991</v>
      </c>
    </row>
    <row r="27" spans="1:30">
      <c r="A27" s="8">
        <v>11</v>
      </c>
      <c r="B27" s="8"/>
      <c r="C27" s="8" t="s">
        <v>100</v>
      </c>
      <c r="D27" s="8"/>
      <c r="E27" s="39" t="s">
        <v>101</v>
      </c>
      <c r="F27" s="15"/>
      <c r="G27" s="24">
        <v>3152576.26</v>
      </c>
      <c r="I27" s="24">
        <v>-3237241</v>
      </c>
      <c r="K27" s="24">
        <f>SUM(G27:J27)</f>
        <v>-84664.740000000224</v>
      </c>
      <c r="M27" s="24"/>
      <c r="N27" s="24"/>
      <c r="O27" s="24">
        <v>0</v>
      </c>
      <c r="P27" s="24"/>
      <c r="Q27" s="24">
        <v>0</v>
      </c>
      <c r="R27" s="24"/>
      <c r="S27" s="24">
        <f>+M27+Q27</f>
        <v>0</v>
      </c>
      <c r="T27" s="24"/>
      <c r="U27" s="24"/>
      <c r="V27" s="24">
        <f>+K27+S27</f>
        <v>-84664.740000000224</v>
      </c>
      <c r="W27" s="24"/>
      <c r="X27" s="24">
        <v>0</v>
      </c>
      <c r="Y27" s="24"/>
      <c r="Z27" s="24">
        <v>0</v>
      </c>
      <c r="AA27" s="24"/>
      <c r="AB27" s="24">
        <v>0</v>
      </c>
      <c r="AC27" s="24"/>
      <c r="AD27" s="24">
        <f t="shared" si="4"/>
        <v>-84664.740000000224</v>
      </c>
    </row>
    <row r="28" spans="1:30">
      <c r="A28" s="8">
        <v>12</v>
      </c>
      <c r="B28" s="8"/>
      <c r="C28" s="8" t="s">
        <v>102</v>
      </c>
      <c r="D28" s="8"/>
      <c r="E28" s="39" t="s">
        <v>103</v>
      </c>
      <c r="F28" s="15"/>
      <c r="G28" s="27">
        <v>7462548.9400000004</v>
      </c>
      <c r="I28" s="27">
        <v>-7305745</v>
      </c>
      <c r="K28" s="27">
        <f>SUM(G28:J28)</f>
        <v>156803.94000000041</v>
      </c>
      <c r="M28" s="24"/>
      <c r="N28" s="24"/>
      <c r="O28" s="27">
        <v>0</v>
      </c>
      <c r="P28" s="24"/>
      <c r="Q28" s="27">
        <v>0</v>
      </c>
      <c r="R28" s="24"/>
      <c r="S28" s="27">
        <f>+M28+Q28</f>
        <v>0</v>
      </c>
      <c r="T28" s="24"/>
      <c r="U28" s="24"/>
      <c r="V28" s="27">
        <f>+K28+S28</f>
        <v>156803.94000000041</v>
      </c>
      <c r="W28" s="24"/>
      <c r="X28" s="27">
        <v>0</v>
      </c>
      <c r="Y28" s="24"/>
      <c r="Z28" s="27">
        <v>0</v>
      </c>
      <c r="AA28" s="24"/>
      <c r="AB28" s="27">
        <v>0</v>
      </c>
      <c r="AC28" s="24"/>
      <c r="AD28" s="27">
        <f t="shared" si="4"/>
        <v>156803.94000000041</v>
      </c>
    </row>
    <row r="29" spans="1:30">
      <c r="A29" s="8"/>
      <c r="E29" s="52"/>
      <c r="G29" s="24"/>
      <c r="I29" s="24"/>
      <c r="K29" s="24"/>
      <c r="M29" s="24"/>
      <c r="N29" s="24"/>
      <c r="O29" s="24"/>
      <c r="Q29" s="24"/>
      <c r="V29" s="24"/>
      <c r="W29" s="24"/>
      <c r="X29" s="24"/>
      <c r="Y29" s="24"/>
      <c r="Z29" s="24"/>
      <c r="AB29" s="24"/>
      <c r="AD29" s="24"/>
    </row>
    <row r="30" spans="1:30">
      <c r="A30" s="8">
        <v>13</v>
      </c>
      <c r="B30" s="8"/>
      <c r="C30" s="233" t="s">
        <v>104</v>
      </c>
      <c r="D30" s="233"/>
      <c r="E30" s="233"/>
      <c r="F30" s="15"/>
      <c r="G30" s="27">
        <f>SUM(G24:G29)</f>
        <v>19545200.300000001</v>
      </c>
      <c r="I30" s="27">
        <f>SUM(I24:I29)</f>
        <v>-17210457</v>
      </c>
      <c r="K30" s="27">
        <f>SUM(K24:K29)</f>
        <v>2334743.2999999993</v>
      </c>
      <c r="M30" s="24"/>
      <c r="N30" s="24"/>
      <c r="O30" s="27">
        <f>SUM(O24:O29)</f>
        <v>0</v>
      </c>
      <c r="Q30" s="27">
        <f>SUM(Q24:Q29)</f>
        <v>0</v>
      </c>
      <c r="S30" s="27">
        <f>SUM(S24:S29)</f>
        <v>0</v>
      </c>
      <c r="T30" s="24"/>
      <c r="V30" s="27">
        <f>SUM(V24:V29)</f>
        <v>2334743.2999999993</v>
      </c>
      <c r="W30" s="24"/>
      <c r="X30" s="27">
        <f>SUM(X24:X29)</f>
        <v>0</v>
      </c>
      <c r="Y30" s="24"/>
      <c r="Z30" s="27">
        <f>SUM(Z24:Z29)</f>
        <v>0</v>
      </c>
      <c r="AB30" s="27">
        <f>SUM(AB24:AB29)</f>
        <v>0</v>
      </c>
      <c r="AD30" s="27">
        <f>SUM(AD24:AD29)</f>
        <v>2334743.2999999993</v>
      </c>
    </row>
    <row r="31" spans="1:30">
      <c r="A31" s="8"/>
      <c r="E31" s="52"/>
      <c r="F31" s="15"/>
      <c r="G31" s="24"/>
      <c r="I31" s="24"/>
      <c r="K31" s="24"/>
      <c r="M31" s="24"/>
      <c r="N31" s="24"/>
      <c r="O31" s="24"/>
      <c r="Q31" s="24"/>
      <c r="S31" s="24"/>
      <c r="T31" s="24"/>
      <c r="V31" s="24"/>
      <c r="W31" s="24"/>
      <c r="X31" s="24"/>
      <c r="Y31" s="24"/>
      <c r="Z31" s="24"/>
      <c r="AB31" s="24"/>
      <c r="AD31" s="24"/>
    </row>
    <row r="32" spans="1:30">
      <c r="A32" s="5">
        <v>14</v>
      </c>
      <c r="B32" s="8"/>
      <c r="C32" s="233" t="s">
        <v>105</v>
      </c>
      <c r="D32" s="233"/>
      <c r="E32" s="233"/>
      <c r="F32" s="15"/>
      <c r="G32" s="27">
        <f>+G21+G30</f>
        <v>39360251.189999998</v>
      </c>
      <c r="I32" s="27">
        <f>+I21+I30</f>
        <v>-28566863</v>
      </c>
      <c r="K32" s="27">
        <f>+K21+K30</f>
        <v>10793388.189999998</v>
      </c>
      <c r="M32" s="24"/>
      <c r="N32" s="24"/>
      <c r="O32" s="27">
        <f>+O21+O30</f>
        <v>0</v>
      </c>
      <c r="Q32" s="27">
        <f>+Q21+Q30</f>
        <v>1151</v>
      </c>
      <c r="S32" s="27">
        <f>+S21+S30</f>
        <v>1151</v>
      </c>
      <c r="T32" s="24"/>
      <c r="V32" s="27">
        <f>+V21+V30</f>
        <v>10794539.189999998</v>
      </c>
      <c r="W32" s="24"/>
      <c r="X32" s="27">
        <f>+X21+X30</f>
        <v>0</v>
      </c>
      <c r="Y32" s="24"/>
      <c r="Z32" s="27">
        <f>+Z21+Z30</f>
        <v>8977</v>
      </c>
      <c r="AB32" s="27">
        <f>+AB21+AB30</f>
        <v>0</v>
      </c>
      <c r="AD32" s="27">
        <f>+AD21+AD30</f>
        <v>10803516.189999998</v>
      </c>
    </row>
    <row r="33" spans="1:30">
      <c r="A33" s="8"/>
      <c r="E33" s="52"/>
      <c r="G33" s="24"/>
      <c r="I33" s="24"/>
      <c r="K33" s="24"/>
      <c r="M33" s="24"/>
      <c r="N33" s="24"/>
      <c r="O33" s="24"/>
      <c r="Q33" s="24"/>
      <c r="V33" s="24"/>
      <c r="W33" s="24"/>
      <c r="X33" s="24"/>
      <c r="Y33" s="24"/>
      <c r="Z33" s="24"/>
      <c r="AB33" s="24"/>
      <c r="AD33" s="24"/>
    </row>
    <row r="34" spans="1:30">
      <c r="A34" s="8"/>
      <c r="C34" s="21" t="s">
        <v>106</v>
      </c>
      <c r="D34" s="21"/>
      <c r="E34" s="52"/>
      <c r="G34" s="24"/>
      <c r="I34" s="24"/>
      <c r="K34" s="24"/>
      <c r="M34" s="24"/>
      <c r="N34" s="24"/>
      <c r="O34" s="24"/>
      <c r="Q34" s="24"/>
      <c r="V34" s="24"/>
      <c r="W34" s="24"/>
      <c r="X34" s="24"/>
      <c r="Y34" s="24"/>
      <c r="Z34" s="24"/>
      <c r="AB34" s="24"/>
      <c r="AD34" s="24"/>
    </row>
    <row r="35" spans="1:30">
      <c r="A35" s="8"/>
      <c r="C35" s="21" t="s">
        <v>78</v>
      </c>
      <c r="D35" s="21"/>
      <c r="E35" s="52"/>
      <c r="G35" s="24"/>
      <c r="I35" s="24"/>
      <c r="K35" s="24"/>
      <c r="M35" s="24"/>
      <c r="N35" s="24"/>
      <c r="O35" s="24"/>
      <c r="Q35" s="24"/>
      <c r="V35" s="24"/>
      <c r="W35" s="24"/>
      <c r="X35" s="24"/>
      <c r="Y35" s="24"/>
      <c r="Z35" s="24"/>
      <c r="AB35" s="24"/>
      <c r="AD35" s="24"/>
    </row>
    <row r="36" spans="1:30">
      <c r="A36" s="8">
        <v>15</v>
      </c>
      <c r="B36" s="8"/>
      <c r="C36" s="8">
        <v>535</v>
      </c>
      <c r="D36" s="8"/>
      <c r="E36" s="39" t="s">
        <v>107</v>
      </c>
      <c r="F36" s="15"/>
      <c r="G36" s="24">
        <v>6209393.6200000001</v>
      </c>
      <c r="I36" s="24">
        <v>0</v>
      </c>
      <c r="K36" s="24">
        <f t="shared" ref="K36:K42" si="5">SUM(G36:J36)</f>
        <v>6209393.6200000001</v>
      </c>
      <c r="M36" s="24"/>
      <c r="N36" s="24"/>
      <c r="O36" s="24">
        <v>0</v>
      </c>
      <c r="P36" s="24"/>
      <c r="Q36" s="24">
        <v>27440</v>
      </c>
      <c r="R36" s="24"/>
      <c r="S36" s="24">
        <f t="shared" ref="S36:S42" si="6">+M36+Q36</f>
        <v>27440</v>
      </c>
      <c r="T36" s="24"/>
      <c r="U36" s="24"/>
      <c r="V36" s="24">
        <f t="shared" ref="V36:V42" si="7">+K36+S36</f>
        <v>6236833.6200000001</v>
      </c>
      <c r="W36" s="24"/>
      <c r="X36" s="24">
        <v>0</v>
      </c>
      <c r="Y36" s="24"/>
      <c r="Z36" s="24">
        <v>214121</v>
      </c>
      <c r="AA36" s="24"/>
      <c r="AB36" s="24">
        <v>0</v>
      </c>
      <c r="AC36" s="24"/>
      <c r="AD36" s="24">
        <f t="shared" ref="AD36:AD37" si="8">+V36+X36+Z36+AB36</f>
        <v>6450954.6200000001</v>
      </c>
    </row>
    <row r="37" spans="1:30">
      <c r="A37" s="8">
        <v>16</v>
      </c>
      <c r="B37" s="8"/>
      <c r="C37" s="8">
        <v>536</v>
      </c>
      <c r="D37" s="8"/>
      <c r="E37" s="39" t="s">
        <v>108</v>
      </c>
      <c r="F37" s="15"/>
      <c r="G37" s="24">
        <v>2910128.78</v>
      </c>
      <c r="I37" s="24">
        <f>-333-70</f>
        <v>-403</v>
      </c>
      <c r="K37" s="24">
        <f t="shared" si="5"/>
        <v>2909725.78</v>
      </c>
      <c r="M37" s="24"/>
      <c r="N37" s="24"/>
      <c r="O37" s="24">
        <v>0</v>
      </c>
      <c r="P37" s="24"/>
      <c r="Q37" s="24">
        <f>2230245.85-1104560.04+3883</f>
        <v>1129568.81</v>
      </c>
      <c r="R37" s="24"/>
      <c r="S37" s="24">
        <f t="shared" si="6"/>
        <v>1129568.81</v>
      </c>
      <c r="T37" s="24"/>
      <c r="U37" s="24"/>
      <c r="V37" s="24">
        <f t="shared" si="7"/>
        <v>4039294.59</v>
      </c>
      <c r="W37" s="24"/>
      <c r="X37" s="24">
        <v>0</v>
      </c>
      <c r="Y37" s="24"/>
      <c r="Z37" s="24">
        <v>30302</v>
      </c>
      <c r="AA37" s="24"/>
      <c r="AB37" s="24">
        <v>0</v>
      </c>
      <c r="AC37" s="24"/>
      <c r="AD37" s="24">
        <f t="shared" si="8"/>
        <v>4069596.59</v>
      </c>
    </row>
    <row r="38" spans="1:30">
      <c r="A38" s="8">
        <v>17</v>
      </c>
      <c r="B38" s="8"/>
      <c r="C38" s="8">
        <v>536</v>
      </c>
      <c r="D38" s="8"/>
      <c r="E38" s="39" t="s">
        <v>109</v>
      </c>
      <c r="F38" s="15"/>
      <c r="G38" s="24">
        <v>0</v>
      </c>
      <c r="I38" s="24">
        <v>0</v>
      </c>
      <c r="K38" s="24">
        <f t="shared" si="5"/>
        <v>0</v>
      </c>
      <c r="M38" s="24"/>
      <c r="N38" s="24"/>
      <c r="O38" s="24">
        <v>0</v>
      </c>
      <c r="P38" s="24"/>
      <c r="Q38" s="24">
        <v>0</v>
      </c>
      <c r="R38" s="24"/>
      <c r="S38" s="24">
        <f t="shared" si="6"/>
        <v>0</v>
      </c>
      <c r="T38" s="24"/>
      <c r="U38" s="24"/>
      <c r="V38" s="24">
        <f t="shared" si="7"/>
        <v>0</v>
      </c>
      <c r="W38" s="24"/>
      <c r="X38" s="24">
        <v>0</v>
      </c>
      <c r="Y38" s="24"/>
      <c r="Z38" s="24">
        <v>0</v>
      </c>
      <c r="AA38" s="24"/>
      <c r="AB38" s="24">
        <v>0</v>
      </c>
      <c r="AC38" s="24"/>
      <c r="AD38" s="24">
        <f t="shared" ref="AD38:AD42" si="9">+V38+X38+Z38+AB38</f>
        <v>0</v>
      </c>
    </row>
    <row r="39" spans="1:30">
      <c r="A39" s="8">
        <v>18</v>
      </c>
      <c r="B39" s="8"/>
      <c r="C39" s="8">
        <v>537</v>
      </c>
      <c r="D39" s="8"/>
      <c r="E39" s="39" t="s">
        <v>110</v>
      </c>
      <c r="F39" s="15"/>
      <c r="G39" s="24">
        <v>21238903.41</v>
      </c>
      <c r="I39" s="24">
        <v>0</v>
      </c>
      <c r="K39" s="24">
        <f t="shared" si="5"/>
        <v>21238903.41</v>
      </c>
      <c r="M39" s="24"/>
      <c r="N39" s="24"/>
      <c r="O39" s="24">
        <v>0</v>
      </c>
      <c r="P39" s="24"/>
      <c r="Q39" s="24">
        <v>42976</v>
      </c>
      <c r="R39" s="24"/>
      <c r="S39" s="24">
        <f t="shared" si="6"/>
        <v>42976</v>
      </c>
      <c r="T39" s="24"/>
      <c r="U39" s="24"/>
      <c r="V39" s="24">
        <f t="shared" si="7"/>
        <v>21281879.41</v>
      </c>
      <c r="W39" s="24"/>
      <c r="X39" s="24">
        <v>0</v>
      </c>
      <c r="Y39" s="24"/>
      <c r="Z39" s="24">
        <v>335350</v>
      </c>
      <c r="AA39" s="24"/>
      <c r="AB39" s="24">
        <v>0</v>
      </c>
      <c r="AC39" s="24"/>
      <c r="AD39" s="24">
        <f t="shared" si="9"/>
        <v>21617229.41</v>
      </c>
    </row>
    <row r="40" spans="1:30">
      <c r="A40" s="8">
        <v>19</v>
      </c>
      <c r="B40" s="8"/>
      <c r="C40" s="8">
        <v>538</v>
      </c>
      <c r="D40" s="8"/>
      <c r="E40" s="39" t="s">
        <v>86</v>
      </c>
      <c r="F40" s="15"/>
      <c r="G40" s="24">
        <v>2316268.44</v>
      </c>
      <c r="I40" s="24">
        <v>0</v>
      </c>
      <c r="K40" s="24">
        <f t="shared" si="5"/>
        <v>2316268.44</v>
      </c>
      <c r="M40" s="24"/>
      <c r="N40" s="24"/>
      <c r="O40" s="24">
        <v>0</v>
      </c>
      <c r="P40" s="24"/>
      <c r="Q40" s="24">
        <v>10002</v>
      </c>
      <c r="R40" s="24"/>
      <c r="S40" s="24">
        <f t="shared" si="6"/>
        <v>10002</v>
      </c>
      <c r="T40" s="24"/>
      <c r="U40" s="24"/>
      <c r="V40" s="24">
        <f t="shared" si="7"/>
        <v>2326270.44</v>
      </c>
      <c r="W40" s="24"/>
      <c r="X40" s="24">
        <v>0</v>
      </c>
      <c r="Y40" s="24"/>
      <c r="Z40" s="24">
        <v>78052</v>
      </c>
      <c r="AA40" s="24"/>
      <c r="AB40" s="24">
        <v>0</v>
      </c>
      <c r="AC40" s="24"/>
      <c r="AD40" s="24">
        <f t="shared" si="9"/>
        <v>2404322.44</v>
      </c>
    </row>
    <row r="41" spans="1:30">
      <c r="A41" s="8">
        <v>20</v>
      </c>
      <c r="B41" s="8"/>
      <c r="C41" s="8">
        <v>539</v>
      </c>
      <c r="D41" s="8"/>
      <c r="E41" s="39" t="s">
        <v>111</v>
      </c>
      <c r="F41" s="15"/>
      <c r="G41" s="24">
        <v>6579400.9699999997</v>
      </c>
      <c r="I41" s="24">
        <v>0</v>
      </c>
      <c r="K41" s="24">
        <f t="shared" si="5"/>
        <v>6579400.9699999997</v>
      </c>
      <c r="M41" s="24"/>
      <c r="N41" s="24"/>
      <c r="O41" s="24">
        <v>0</v>
      </c>
      <c r="P41" s="24"/>
      <c r="Q41" s="24">
        <v>25871</v>
      </c>
      <c r="R41" s="24"/>
      <c r="S41" s="24">
        <f t="shared" si="6"/>
        <v>25871</v>
      </c>
      <c r="T41" s="24"/>
      <c r="U41" s="24"/>
      <c r="V41" s="24">
        <f t="shared" si="7"/>
        <v>6605271.9699999997</v>
      </c>
      <c r="W41" s="24"/>
      <c r="X41" s="24">
        <v>0</v>
      </c>
      <c r="Y41" s="24"/>
      <c r="Z41" s="24">
        <v>201880</v>
      </c>
      <c r="AA41" s="24"/>
      <c r="AB41" s="24">
        <v>0</v>
      </c>
      <c r="AC41" s="24"/>
      <c r="AD41" s="24">
        <f t="shared" si="9"/>
        <v>6807151.9699999997</v>
      </c>
    </row>
    <row r="42" spans="1:30">
      <c r="A42" s="8">
        <v>21</v>
      </c>
      <c r="B42" s="8"/>
      <c r="C42" s="8">
        <v>540</v>
      </c>
      <c r="D42" s="8"/>
      <c r="E42" s="39" t="s">
        <v>90</v>
      </c>
      <c r="F42" s="15"/>
      <c r="G42" s="27">
        <v>319088.58</v>
      </c>
      <c r="I42" s="27">
        <v>0</v>
      </c>
      <c r="K42" s="27">
        <f t="shared" si="5"/>
        <v>319088.58</v>
      </c>
      <c r="M42" s="24"/>
      <c r="N42" s="24"/>
      <c r="O42" s="27">
        <v>0</v>
      </c>
      <c r="P42" s="24"/>
      <c r="Q42" s="27">
        <v>0</v>
      </c>
      <c r="R42" s="24"/>
      <c r="S42" s="27">
        <f t="shared" si="6"/>
        <v>0</v>
      </c>
      <c r="T42" s="24"/>
      <c r="U42" s="24"/>
      <c r="V42" s="27">
        <f t="shared" si="7"/>
        <v>319088.58</v>
      </c>
      <c r="W42" s="24"/>
      <c r="X42" s="27">
        <v>0</v>
      </c>
      <c r="Y42" s="24"/>
      <c r="Z42" s="27">
        <v>0</v>
      </c>
      <c r="AA42" s="24"/>
      <c r="AB42" s="27">
        <v>0</v>
      </c>
      <c r="AC42" s="24"/>
      <c r="AD42" s="27">
        <f t="shared" si="9"/>
        <v>319088.58</v>
      </c>
    </row>
    <row r="43" spans="1:30">
      <c r="A43" s="8"/>
      <c r="E43" s="52"/>
      <c r="G43" s="24"/>
      <c r="I43" s="24"/>
      <c r="K43" s="24"/>
      <c r="M43" s="24"/>
      <c r="N43" s="24"/>
      <c r="O43" s="24"/>
      <c r="Q43" s="24"/>
      <c r="V43" s="24"/>
      <c r="W43" s="24"/>
      <c r="X43" s="24"/>
      <c r="Y43" s="24"/>
      <c r="Z43" s="24"/>
      <c r="AB43" s="24"/>
      <c r="AD43" s="24"/>
    </row>
    <row r="44" spans="1:30">
      <c r="A44" s="8">
        <v>22</v>
      </c>
      <c r="B44" s="8"/>
      <c r="C44" s="233" t="s">
        <v>91</v>
      </c>
      <c r="D44" s="233"/>
      <c r="E44" s="233"/>
      <c r="F44" s="15"/>
      <c r="G44" s="27">
        <f>SUM(G36:G43)</f>
        <v>39573183.800000004</v>
      </c>
      <c r="I44" s="27">
        <f>SUM(I36:I43)</f>
        <v>-403</v>
      </c>
      <c r="K44" s="27">
        <f>SUM(K36:K43)</f>
        <v>39572780.800000004</v>
      </c>
      <c r="M44" s="24"/>
      <c r="N44" s="24"/>
      <c r="O44" s="27">
        <f>SUM(O36:O43)</f>
        <v>0</v>
      </c>
      <c r="Q44" s="27">
        <f>SUM(Q36:Q43)</f>
        <v>1235857.81</v>
      </c>
      <c r="S44" s="27">
        <f>SUM(S36:S43)</f>
        <v>1235857.81</v>
      </c>
      <c r="T44" s="24"/>
      <c r="V44" s="27">
        <f>SUM(V36:V43)</f>
        <v>40808638.609999999</v>
      </c>
      <c r="W44" s="24"/>
      <c r="X44" s="27">
        <f>SUM(X36:X43)</f>
        <v>0</v>
      </c>
      <c r="Y44" s="24"/>
      <c r="Z44" s="27">
        <f>SUM(Z36:Z43)</f>
        <v>859705</v>
      </c>
      <c r="AB44" s="27">
        <f>SUM(AB36:AB43)</f>
        <v>0</v>
      </c>
      <c r="AD44" s="27">
        <f>SUM(AD36:AD43)</f>
        <v>41668343.609999999</v>
      </c>
    </row>
    <row r="45" spans="1:30">
      <c r="A45" s="8"/>
      <c r="E45" s="52"/>
      <c r="G45" s="24"/>
      <c r="I45" s="24"/>
      <c r="K45" s="24"/>
      <c r="M45" s="24"/>
      <c r="N45" s="24"/>
      <c r="O45" s="24"/>
      <c r="Q45" s="24"/>
      <c r="V45" s="24"/>
      <c r="W45" s="24"/>
      <c r="X45" s="24"/>
      <c r="Y45" s="24"/>
      <c r="Z45" s="24"/>
      <c r="AB45" s="24"/>
      <c r="AD45" s="24"/>
    </row>
    <row r="46" spans="1:30">
      <c r="A46" s="8"/>
      <c r="C46" s="21" t="s">
        <v>93</v>
      </c>
      <c r="D46" s="21"/>
      <c r="E46" s="52"/>
      <c r="G46" s="24"/>
      <c r="I46" s="24"/>
      <c r="K46" s="24"/>
      <c r="M46" s="24"/>
      <c r="N46" s="24"/>
      <c r="O46" s="24"/>
      <c r="Q46" s="24"/>
      <c r="V46" s="24"/>
      <c r="W46" s="24"/>
      <c r="X46" s="24"/>
      <c r="Y46" s="24"/>
      <c r="Z46" s="24"/>
      <c r="AB46" s="24"/>
      <c r="AD46" s="24"/>
    </row>
    <row r="47" spans="1:30">
      <c r="A47" s="8">
        <v>23</v>
      </c>
      <c r="B47" s="8"/>
      <c r="C47" s="8">
        <v>541</v>
      </c>
      <c r="D47" s="8"/>
      <c r="E47" s="39" t="s">
        <v>95</v>
      </c>
      <c r="F47" s="15"/>
      <c r="G47" s="24">
        <v>179739.04</v>
      </c>
      <c r="I47" s="24">
        <v>0</v>
      </c>
      <c r="K47" s="24">
        <f>SUM(G47:J47)</f>
        <v>179739.04</v>
      </c>
      <c r="M47" s="24"/>
      <c r="N47" s="24"/>
      <c r="O47" s="24">
        <v>0</v>
      </c>
      <c r="P47" s="24"/>
      <c r="Q47" s="24">
        <v>851</v>
      </c>
      <c r="R47" s="24"/>
      <c r="S47" s="24">
        <f>+M47+Q47</f>
        <v>851</v>
      </c>
      <c r="T47" s="24"/>
      <c r="U47" s="24"/>
      <c r="V47" s="24">
        <f>+K47+S47</f>
        <v>180590.04</v>
      </c>
      <c r="W47" s="24"/>
      <c r="X47" s="24">
        <v>0</v>
      </c>
      <c r="Y47" s="24"/>
      <c r="Z47" s="24">
        <v>6640</v>
      </c>
      <c r="AA47" s="24"/>
      <c r="AB47" s="24">
        <v>0</v>
      </c>
      <c r="AC47" s="24"/>
      <c r="AD47" s="24">
        <f t="shared" ref="AD47:AD51" si="10">+V47+X47+Z47+AB47</f>
        <v>187230.04</v>
      </c>
    </row>
    <row r="48" spans="1:30">
      <c r="A48" s="8">
        <v>24</v>
      </c>
      <c r="B48" s="8"/>
      <c r="C48" s="8">
        <v>542</v>
      </c>
      <c r="D48" s="8"/>
      <c r="E48" s="39" t="s">
        <v>97</v>
      </c>
      <c r="F48" s="15"/>
      <c r="G48" s="24">
        <v>1151713.94</v>
      </c>
      <c r="I48" s="24">
        <v>0</v>
      </c>
      <c r="K48" s="24">
        <f>SUM(G48:J48)</f>
        <v>1151713.94</v>
      </c>
      <c r="M48" s="24"/>
      <c r="N48" s="24"/>
      <c r="O48" s="24">
        <v>0</v>
      </c>
      <c r="P48" s="24"/>
      <c r="Q48" s="24">
        <v>3883</v>
      </c>
      <c r="R48" s="24"/>
      <c r="S48" s="24">
        <f>+M48+Q48</f>
        <v>3883</v>
      </c>
      <c r="T48" s="24"/>
      <c r="U48" s="24"/>
      <c r="V48" s="24">
        <f>+K48+S48</f>
        <v>1155596.94</v>
      </c>
      <c r="W48" s="24"/>
      <c r="X48" s="24">
        <v>0</v>
      </c>
      <c r="Y48" s="24"/>
      <c r="Z48" s="24">
        <v>30301</v>
      </c>
      <c r="AA48" s="24"/>
      <c r="AB48" s="24">
        <v>0</v>
      </c>
      <c r="AC48" s="24"/>
      <c r="AD48" s="24">
        <f t="shared" si="10"/>
        <v>1185897.94</v>
      </c>
    </row>
    <row r="49" spans="1:30">
      <c r="A49" s="8">
        <v>25</v>
      </c>
      <c r="B49" s="8"/>
      <c r="C49" s="8">
        <v>543</v>
      </c>
      <c r="D49" s="8"/>
      <c r="E49" s="39" t="s">
        <v>112</v>
      </c>
      <c r="F49" s="15"/>
      <c r="G49" s="24">
        <v>1721351.35</v>
      </c>
      <c r="I49" s="24">
        <v>0</v>
      </c>
      <c r="K49" s="24">
        <f>SUM(G49:J49)</f>
        <v>1721351.35</v>
      </c>
      <c r="M49" s="24"/>
      <c r="N49" s="24"/>
      <c r="O49" s="24">
        <v>0</v>
      </c>
      <c r="P49" s="24"/>
      <c r="Q49" s="24">
        <v>2367</v>
      </c>
      <c r="R49" s="24"/>
      <c r="S49" s="24">
        <f>+M49+Q49</f>
        <v>2367</v>
      </c>
      <c r="T49" s="24"/>
      <c r="U49" s="24"/>
      <c r="V49" s="24">
        <f>+K49+S49</f>
        <v>1723718.35</v>
      </c>
      <c r="W49" s="24"/>
      <c r="X49" s="24">
        <v>0</v>
      </c>
      <c r="Y49" s="24"/>
      <c r="Z49" s="24">
        <v>18474</v>
      </c>
      <c r="AA49" s="24"/>
      <c r="AB49" s="24">
        <v>0</v>
      </c>
      <c r="AC49" s="24"/>
      <c r="AD49" s="24">
        <f t="shared" si="10"/>
        <v>1742192.35</v>
      </c>
    </row>
    <row r="50" spans="1:30">
      <c r="A50" s="8">
        <v>26</v>
      </c>
      <c r="B50" s="8"/>
      <c r="C50" s="8">
        <v>544</v>
      </c>
      <c r="D50" s="8"/>
      <c r="E50" s="39" t="s">
        <v>101</v>
      </c>
      <c r="F50" s="15"/>
      <c r="G50" s="24">
        <v>3786618.19</v>
      </c>
      <c r="I50" s="24">
        <v>0</v>
      </c>
      <c r="K50" s="24">
        <f>SUM(G50:J50)</f>
        <v>3786618.19</v>
      </c>
      <c r="M50" s="24"/>
      <c r="N50" s="24"/>
      <c r="O50" s="24">
        <v>0</v>
      </c>
      <c r="P50" s="24"/>
      <c r="Q50" s="24">
        <v>13465</v>
      </c>
      <c r="R50" s="24"/>
      <c r="S50" s="24">
        <f>+M50+Q50</f>
        <v>13465</v>
      </c>
      <c r="T50" s="24"/>
      <c r="U50" s="24"/>
      <c r="V50" s="24">
        <f>+K50+S50</f>
        <v>3800083.19</v>
      </c>
      <c r="W50" s="24"/>
      <c r="X50" s="24">
        <v>0</v>
      </c>
      <c r="Y50" s="24"/>
      <c r="Z50" s="24">
        <v>105069</v>
      </c>
      <c r="AA50" s="24"/>
      <c r="AB50" s="24">
        <v>0</v>
      </c>
      <c r="AC50" s="24"/>
      <c r="AD50" s="24">
        <f t="shared" si="10"/>
        <v>3905152.19</v>
      </c>
    </row>
    <row r="51" spans="1:30">
      <c r="A51" s="8">
        <v>27</v>
      </c>
      <c r="B51" s="8"/>
      <c r="C51" s="8">
        <v>545</v>
      </c>
      <c r="D51" s="8"/>
      <c r="E51" s="39" t="s">
        <v>113</v>
      </c>
      <c r="F51" s="15"/>
      <c r="G51" s="27">
        <v>5139108.71</v>
      </c>
      <c r="I51" s="27">
        <v>-25</v>
      </c>
      <c r="K51" s="27">
        <f>SUM(G51:J51)</f>
        <v>5139083.71</v>
      </c>
      <c r="M51" s="24"/>
      <c r="N51" s="24"/>
      <c r="O51" s="27">
        <v>0</v>
      </c>
      <c r="P51" s="24"/>
      <c r="Q51" s="27">
        <v>17339</v>
      </c>
      <c r="R51" s="24"/>
      <c r="S51" s="27">
        <f>+M51+Q51</f>
        <v>17339</v>
      </c>
      <c r="T51" s="24"/>
      <c r="U51" s="24"/>
      <c r="V51" s="27">
        <f>+K51+S51</f>
        <v>5156422.71</v>
      </c>
      <c r="W51" s="24"/>
      <c r="X51" s="27">
        <v>0</v>
      </c>
      <c r="Y51" s="24"/>
      <c r="Z51" s="27">
        <v>135299</v>
      </c>
      <c r="AA51" s="24"/>
      <c r="AB51" s="27">
        <v>0</v>
      </c>
      <c r="AC51" s="24"/>
      <c r="AD51" s="27">
        <f t="shared" si="10"/>
        <v>5291721.71</v>
      </c>
    </row>
    <row r="52" spans="1:30">
      <c r="A52" s="8"/>
      <c r="E52" s="52"/>
      <c r="G52" s="24"/>
      <c r="I52" s="24"/>
      <c r="K52" s="24"/>
      <c r="M52" s="24"/>
      <c r="N52" s="24"/>
      <c r="O52" s="24"/>
      <c r="Q52" s="24"/>
      <c r="V52" s="24"/>
      <c r="W52" s="24"/>
      <c r="X52" s="24"/>
      <c r="Y52" s="24"/>
      <c r="Z52" s="24"/>
      <c r="AB52" s="24"/>
      <c r="AD52" s="24"/>
    </row>
    <row r="53" spans="1:30">
      <c r="A53" s="8">
        <v>28</v>
      </c>
      <c r="B53" s="8"/>
      <c r="C53" s="233" t="s">
        <v>104</v>
      </c>
      <c r="D53" s="233"/>
      <c r="E53" s="233"/>
      <c r="F53" s="15"/>
      <c r="G53" s="27">
        <f>SUM(G47:G52)</f>
        <v>11978531.23</v>
      </c>
      <c r="I53" s="27">
        <f>SUM(I47:I52)</f>
        <v>-25</v>
      </c>
      <c r="K53" s="27">
        <f>SUM(K47:K52)</f>
        <v>11978506.23</v>
      </c>
      <c r="M53" s="24"/>
      <c r="N53" s="24"/>
      <c r="O53" s="27">
        <f>SUM(O47:O52)</f>
        <v>0</v>
      </c>
      <c r="Q53" s="27">
        <f>SUM(Q47:Q52)</f>
        <v>37905</v>
      </c>
      <c r="S53" s="27">
        <f>SUM(S47:S52)</f>
        <v>37905</v>
      </c>
      <c r="T53" s="24"/>
      <c r="V53" s="27">
        <f>SUM(V47:V52)</f>
        <v>12016411.23</v>
      </c>
      <c r="W53" s="24"/>
      <c r="X53" s="27">
        <f>SUM(X47:X52)</f>
        <v>0</v>
      </c>
      <c r="Y53" s="24"/>
      <c r="Z53" s="27">
        <f>SUM(Z47:Z52)</f>
        <v>295783</v>
      </c>
      <c r="AB53" s="27">
        <f>SUM(AB47:AB52)</f>
        <v>0</v>
      </c>
      <c r="AD53" s="27">
        <f>SUM(AD47:AD52)</f>
        <v>12312194.23</v>
      </c>
    </row>
    <row r="54" spans="1:30">
      <c r="A54" s="8"/>
      <c r="E54" s="52"/>
      <c r="F54" s="15"/>
      <c r="G54" s="24"/>
      <c r="I54" s="24"/>
      <c r="K54" s="24"/>
      <c r="M54" s="24"/>
      <c r="N54" s="24"/>
      <c r="O54" s="24"/>
      <c r="Q54" s="24"/>
      <c r="S54" s="24"/>
      <c r="T54" s="24"/>
      <c r="V54" s="24"/>
      <c r="W54" s="24"/>
      <c r="X54" s="24"/>
      <c r="Y54" s="24"/>
      <c r="Z54" s="24"/>
      <c r="AB54" s="24"/>
      <c r="AD54" s="24"/>
    </row>
    <row r="55" spans="1:30">
      <c r="A55" s="8">
        <v>29</v>
      </c>
      <c r="B55" s="8"/>
      <c r="C55" s="233" t="s">
        <v>114</v>
      </c>
      <c r="D55" s="233"/>
      <c r="E55" s="233"/>
      <c r="F55" s="15"/>
      <c r="G55" s="27">
        <f>+G44+G53</f>
        <v>51551715.030000001</v>
      </c>
      <c r="I55" s="27">
        <f>+I44+I53</f>
        <v>-428</v>
      </c>
      <c r="K55" s="27">
        <f>+K44+K53</f>
        <v>51551287.030000001</v>
      </c>
      <c r="M55" s="24"/>
      <c r="N55" s="24"/>
      <c r="O55" s="27">
        <f>+O44+O53</f>
        <v>0</v>
      </c>
      <c r="Q55" s="27">
        <f>+Q44+Q53</f>
        <v>1273762.81</v>
      </c>
      <c r="S55" s="27">
        <f>+S44+S53</f>
        <v>1273762.81</v>
      </c>
      <c r="T55" s="24"/>
      <c r="V55" s="27">
        <f>+V44+V53</f>
        <v>52825049.840000004</v>
      </c>
      <c r="W55" s="24"/>
      <c r="X55" s="27">
        <f>+X44+X53</f>
        <v>0</v>
      </c>
      <c r="Y55" s="24"/>
      <c r="Z55" s="27">
        <f>+Z44+Z53</f>
        <v>1155488</v>
      </c>
      <c r="AB55" s="27">
        <f>+AB44+AB53</f>
        <v>0</v>
      </c>
      <c r="AD55" s="27">
        <f>+AD44+AD53</f>
        <v>53980537.840000004</v>
      </c>
    </row>
    <row r="56" spans="1:30">
      <c r="A56" s="8"/>
      <c r="E56" s="52"/>
      <c r="G56" s="24"/>
      <c r="I56" s="24"/>
      <c r="K56" s="24"/>
      <c r="M56" s="24"/>
      <c r="N56" s="24"/>
      <c r="O56" s="24"/>
      <c r="Q56" s="24"/>
      <c r="V56" s="24"/>
      <c r="W56" s="24"/>
      <c r="X56" s="24"/>
      <c r="Y56" s="24"/>
      <c r="Z56" s="24"/>
      <c r="AB56" s="24"/>
      <c r="AD56" s="24"/>
    </row>
    <row r="57" spans="1:30">
      <c r="A57" s="8"/>
      <c r="C57" s="21" t="s">
        <v>115</v>
      </c>
      <c r="D57" s="21"/>
      <c r="E57" s="52"/>
      <c r="G57" s="24"/>
      <c r="I57" s="24"/>
      <c r="K57" s="24"/>
      <c r="M57" s="24"/>
      <c r="N57" s="24"/>
      <c r="O57" s="24"/>
      <c r="Q57" s="24"/>
      <c r="V57" s="24"/>
      <c r="W57" s="24"/>
      <c r="X57" s="24"/>
      <c r="Y57" s="24"/>
      <c r="Z57" s="24"/>
      <c r="AB57" s="24"/>
      <c r="AD57" s="24"/>
    </row>
    <row r="58" spans="1:30">
      <c r="A58" s="8"/>
      <c r="C58" s="21" t="s">
        <v>78</v>
      </c>
      <c r="D58" s="21"/>
      <c r="E58" s="52"/>
      <c r="G58" s="24"/>
      <c r="I58" s="24"/>
      <c r="K58" s="24"/>
      <c r="M58" s="24"/>
      <c r="N58" s="24"/>
      <c r="O58" s="24"/>
      <c r="Q58" s="24"/>
      <c r="V58" s="24"/>
      <c r="W58" s="24"/>
      <c r="X58" s="24"/>
      <c r="Y58" s="24"/>
      <c r="Z58" s="24"/>
      <c r="AB58" s="24"/>
      <c r="AD58" s="24"/>
    </row>
    <row r="59" spans="1:30">
      <c r="A59" s="8">
        <v>30</v>
      </c>
      <c r="B59" s="8"/>
      <c r="C59" s="8">
        <v>546</v>
      </c>
      <c r="D59" s="8"/>
      <c r="E59" s="39" t="s">
        <v>107</v>
      </c>
      <c r="F59" s="15"/>
      <c r="G59" s="24">
        <v>596233.34</v>
      </c>
      <c r="I59" s="24">
        <v>0</v>
      </c>
      <c r="K59" s="24">
        <f>SUM(G59:J59)</f>
        <v>596233.34</v>
      </c>
      <c r="M59" s="24"/>
      <c r="N59" s="24"/>
      <c r="O59" s="24">
        <v>0</v>
      </c>
      <c r="P59" s="24"/>
      <c r="Q59" s="24">
        <v>2960</v>
      </c>
      <c r="R59" s="24"/>
      <c r="S59" s="24">
        <f>+M59+Q59</f>
        <v>2960</v>
      </c>
      <c r="T59" s="24"/>
      <c r="U59" s="24"/>
      <c r="V59" s="24">
        <f t="shared" ref="V59:V64" si="11">+K59+S59</f>
        <v>599193.34</v>
      </c>
      <c r="W59" s="24"/>
      <c r="X59" s="24">
        <v>0</v>
      </c>
      <c r="Y59" s="24"/>
      <c r="Z59" s="24">
        <v>23101</v>
      </c>
      <c r="AA59" s="24"/>
      <c r="AB59" s="24">
        <v>0</v>
      </c>
      <c r="AC59" s="24"/>
      <c r="AD59" s="24">
        <f t="shared" ref="AD59:AD64" si="12">+V59+X59+Z59+AB59</f>
        <v>622294.34</v>
      </c>
    </row>
    <row r="60" spans="1:30">
      <c r="A60" s="8">
        <v>31</v>
      </c>
      <c r="B60" s="8"/>
      <c r="C60" s="5" t="s">
        <v>116</v>
      </c>
      <c r="D60" s="8"/>
      <c r="E60" s="39" t="s">
        <v>117</v>
      </c>
      <c r="F60" s="15"/>
      <c r="G60" s="24">
        <v>11925.52</v>
      </c>
      <c r="I60" s="24">
        <v>0</v>
      </c>
      <c r="K60" s="24">
        <f>SUM(G60:J60)</f>
        <v>11925.52</v>
      </c>
      <c r="M60" s="25"/>
      <c r="N60" s="24"/>
      <c r="O60" s="24">
        <v>0</v>
      </c>
      <c r="P60" s="24"/>
      <c r="Q60" s="24">
        <v>0</v>
      </c>
      <c r="R60" s="24"/>
      <c r="S60" s="24">
        <f>+Q60</f>
        <v>0</v>
      </c>
      <c r="T60" s="24"/>
      <c r="U60" s="24"/>
      <c r="V60" s="24">
        <f t="shared" si="11"/>
        <v>11925.52</v>
      </c>
      <c r="W60" s="24"/>
      <c r="X60" s="24">
        <v>0</v>
      </c>
      <c r="Y60" s="24"/>
      <c r="Z60" s="24">
        <v>0</v>
      </c>
      <c r="AA60" s="24"/>
      <c r="AB60" s="24">
        <v>0</v>
      </c>
      <c r="AC60" s="24"/>
      <c r="AD60" s="24">
        <f t="shared" ref="AD60" si="13">+V60+X60+Z60+AB60</f>
        <v>11925.52</v>
      </c>
    </row>
    <row r="61" spans="1:30">
      <c r="A61" s="8">
        <v>32</v>
      </c>
      <c r="B61" s="8"/>
      <c r="C61" s="8">
        <v>547</v>
      </c>
      <c r="D61" s="8"/>
      <c r="E61" s="39" t="s">
        <v>82</v>
      </c>
      <c r="F61" s="15"/>
      <c r="G61" s="50">
        <v>0</v>
      </c>
      <c r="H61" s="51"/>
      <c r="I61" s="50">
        <v>0</v>
      </c>
      <c r="J61" s="51"/>
      <c r="K61" s="50">
        <f t="shared" ref="K61:K64" si="14">SUM(G61:J61)</f>
        <v>0</v>
      </c>
      <c r="L61" s="51"/>
      <c r="M61" s="50"/>
      <c r="N61" s="50"/>
      <c r="O61" s="50">
        <f>-M61</f>
        <v>0</v>
      </c>
      <c r="P61" s="50"/>
      <c r="Q61" s="50">
        <v>0</v>
      </c>
      <c r="R61" s="50"/>
      <c r="S61" s="50">
        <f>+M61+Q61</f>
        <v>0</v>
      </c>
      <c r="T61" s="50"/>
      <c r="U61" s="50"/>
      <c r="V61" s="50">
        <f t="shared" si="11"/>
        <v>0</v>
      </c>
      <c r="W61" s="50"/>
      <c r="X61" s="50">
        <v>0</v>
      </c>
      <c r="Y61" s="50"/>
      <c r="Z61" s="50">
        <v>0</v>
      </c>
      <c r="AA61" s="50"/>
      <c r="AB61" s="50">
        <v>0</v>
      </c>
      <c r="AC61" s="50"/>
      <c r="AD61" s="50">
        <f t="shared" si="12"/>
        <v>0</v>
      </c>
    </row>
    <row r="62" spans="1:30">
      <c r="A62" s="8">
        <v>33</v>
      </c>
      <c r="B62" s="8"/>
      <c r="C62" s="8">
        <v>548</v>
      </c>
      <c r="D62" s="8"/>
      <c r="E62" s="39" t="s">
        <v>118</v>
      </c>
      <c r="F62" s="15"/>
      <c r="G62" s="24">
        <v>6247379.8300000001</v>
      </c>
      <c r="I62" s="24">
        <v>0</v>
      </c>
      <c r="K62" s="24">
        <f t="shared" si="14"/>
        <v>6247379.8300000001</v>
      </c>
      <c r="M62" s="24"/>
      <c r="N62" s="24"/>
      <c r="O62" s="24">
        <v>0</v>
      </c>
      <c r="P62" s="24"/>
      <c r="Q62" s="24">
        <v>21927</v>
      </c>
      <c r="R62" s="24"/>
      <c r="S62" s="24">
        <f>+M62+Q62</f>
        <v>21927</v>
      </c>
      <c r="T62" s="24"/>
      <c r="U62" s="24"/>
      <c r="V62" s="24">
        <f t="shared" si="11"/>
        <v>6269306.8300000001</v>
      </c>
      <c r="W62" s="24"/>
      <c r="X62" s="24">
        <v>0</v>
      </c>
      <c r="Y62" s="24"/>
      <c r="Z62" s="24">
        <v>171101</v>
      </c>
      <c r="AA62" s="24"/>
      <c r="AB62" s="24">
        <v>0</v>
      </c>
      <c r="AC62" s="24"/>
      <c r="AD62" s="24">
        <f t="shared" si="12"/>
        <v>6440407.8300000001</v>
      </c>
    </row>
    <row r="63" spans="1:30">
      <c r="A63" s="5">
        <v>34</v>
      </c>
      <c r="B63" s="8"/>
      <c r="C63" s="8">
        <v>549</v>
      </c>
      <c r="D63" s="8"/>
      <c r="E63" s="39" t="s">
        <v>119</v>
      </c>
      <c r="F63" s="15"/>
      <c r="G63" s="24">
        <v>729076.88</v>
      </c>
      <c r="I63" s="24">
        <v>0</v>
      </c>
      <c r="K63" s="24">
        <f t="shared" si="14"/>
        <v>729076.88</v>
      </c>
      <c r="M63" s="24"/>
      <c r="N63" s="24"/>
      <c r="O63" s="24">
        <v>0</v>
      </c>
      <c r="P63" s="24"/>
      <c r="Q63" s="24">
        <v>2771</v>
      </c>
      <c r="R63" s="24"/>
      <c r="S63" s="24">
        <f>+M63+Q63</f>
        <v>2771</v>
      </c>
      <c r="T63" s="24"/>
      <c r="U63" s="24"/>
      <c r="V63" s="24">
        <f t="shared" si="11"/>
        <v>731847.88</v>
      </c>
      <c r="W63" s="24"/>
      <c r="X63" s="24">
        <v>0</v>
      </c>
      <c r="Y63" s="24"/>
      <c r="Z63" s="24">
        <v>21620</v>
      </c>
      <c r="AA63" s="24"/>
      <c r="AB63" s="24">
        <v>0</v>
      </c>
      <c r="AC63" s="24"/>
      <c r="AD63" s="24">
        <f t="shared" si="12"/>
        <v>753467.88</v>
      </c>
    </row>
    <row r="64" spans="1:30">
      <c r="A64" s="5">
        <v>35</v>
      </c>
      <c r="B64" s="8"/>
      <c r="C64" s="5">
        <v>550</v>
      </c>
      <c r="D64" s="8"/>
      <c r="E64" s="39" t="s">
        <v>90</v>
      </c>
      <c r="F64" s="15"/>
      <c r="G64" s="27">
        <v>0</v>
      </c>
      <c r="I64" s="27">
        <v>0</v>
      </c>
      <c r="K64" s="27">
        <f t="shared" si="14"/>
        <v>0</v>
      </c>
      <c r="M64" s="24"/>
      <c r="N64" s="24"/>
      <c r="O64" s="27">
        <v>0</v>
      </c>
      <c r="P64" s="24"/>
      <c r="Q64" s="27">
        <v>0</v>
      </c>
      <c r="R64" s="24"/>
      <c r="S64" s="27">
        <f>+M64+Q64</f>
        <v>0</v>
      </c>
      <c r="T64" s="24"/>
      <c r="U64" s="24"/>
      <c r="V64" s="27">
        <f t="shared" si="11"/>
        <v>0</v>
      </c>
      <c r="W64" s="24"/>
      <c r="X64" s="27">
        <v>0</v>
      </c>
      <c r="Y64" s="24"/>
      <c r="Z64" s="27">
        <v>0</v>
      </c>
      <c r="AA64" s="24"/>
      <c r="AB64" s="27">
        <v>0</v>
      </c>
      <c r="AC64" s="24"/>
      <c r="AD64" s="27">
        <f t="shared" si="12"/>
        <v>0</v>
      </c>
    </row>
    <row r="65" spans="1:73">
      <c r="A65" s="8"/>
      <c r="G65" s="24"/>
      <c r="I65" s="24"/>
      <c r="K65" s="24"/>
      <c r="M65" s="24"/>
      <c r="N65" s="24"/>
      <c r="O65" s="24"/>
      <c r="Q65" s="24"/>
      <c r="V65" s="24"/>
      <c r="W65" s="24"/>
      <c r="X65" s="24"/>
      <c r="Y65" s="24"/>
      <c r="Z65" s="24"/>
      <c r="AB65" s="24"/>
      <c r="AD65" s="24"/>
    </row>
    <row r="66" spans="1:73">
      <c r="A66" s="5">
        <v>36</v>
      </c>
      <c r="B66" s="8"/>
      <c r="C66" s="233" t="s">
        <v>91</v>
      </c>
      <c r="D66" s="233"/>
      <c r="E66" s="233"/>
      <c r="F66" s="15"/>
      <c r="G66" s="27">
        <f>SUM(G59:G65)</f>
        <v>7584615.5700000003</v>
      </c>
      <c r="I66" s="27">
        <f>SUM(I59:I65)</f>
        <v>0</v>
      </c>
      <c r="K66" s="27">
        <f>SUM(K59:K65)</f>
        <v>7584615.5700000003</v>
      </c>
      <c r="M66" s="24"/>
      <c r="N66" s="24"/>
      <c r="O66" s="27">
        <f>SUM(O59:O65)</f>
        <v>0</v>
      </c>
      <c r="Q66" s="27">
        <f>SUM(Q59:Q65)</f>
        <v>27658</v>
      </c>
      <c r="S66" s="27">
        <f>SUM(S59:S65)</f>
        <v>27658</v>
      </c>
      <c r="T66" s="24"/>
      <c r="V66" s="27">
        <f>SUM(V59:V65)</f>
        <v>7612273.5700000003</v>
      </c>
      <c r="W66" s="24"/>
      <c r="X66" s="27">
        <f>SUM(X59:X65)</f>
        <v>0</v>
      </c>
      <c r="Y66" s="24"/>
      <c r="Z66" s="27">
        <f>SUM(Z59:Z65)</f>
        <v>215822</v>
      </c>
      <c r="AB66" s="27">
        <f>SUM(AB59:AB65)</f>
        <v>0</v>
      </c>
      <c r="AD66" s="27">
        <f>SUM(AD59:AD65)</f>
        <v>7828095.5700000003</v>
      </c>
    </row>
    <row r="67" spans="1:73">
      <c r="A67" s="8"/>
    </row>
    <row r="68" spans="1:73">
      <c r="A68" s="231" t="s">
        <v>0</v>
      </c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</row>
    <row r="69" spans="1:73">
      <c r="A69" s="231" t="s">
        <v>69</v>
      </c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</row>
    <row r="70" spans="1:73">
      <c r="A70" s="234" t="str">
        <f>+A3</f>
        <v>For Twelve Months Ended December 31, 2025</v>
      </c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  <c r="AA70" s="234"/>
      <c r="AB70" s="234"/>
      <c r="AC70" s="234"/>
      <c r="AD70" s="234"/>
    </row>
    <row r="71" spans="1:73">
      <c r="A71" s="8"/>
      <c r="B71" s="47"/>
      <c r="C71" s="47"/>
      <c r="D71" s="47"/>
      <c r="E71" s="47"/>
      <c r="F71" s="47"/>
    </row>
    <row r="72" spans="1:73">
      <c r="A72" s="8"/>
    </row>
    <row r="73" spans="1:73">
      <c r="A73" s="2">
        <v>-1</v>
      </c>
      <c r="B73" s="47"/>
      <c r="C73" s="2">
        <v>-2</v>
      </c>
      <c r="D73" s="47"/>
      <c r="E73" s="2">
        <v>-3</v>
      </c>
      <c r="F73" s="4"/>
      <c r="G73" s="2">
        <v>-4</v>
      </c>
      <c r="I73" s="2">
        <v>-5</v>
      </c>
      <c r="J73" s="2"/>
      <c r="K73" s="2">
        <v>-6</v>
      </c>
      <c r="L73" s="3"/>
      <c r="M73" s="2">
        <v>-7</v>
      </c>
      <c r="N73" s="2"/>
      <c r="O73" s="2">
        <v>-8</v>
      </c>
      <c r="P73" s="2"/>
      <c r="Q73" s="2">
        <v>-8</v>
      </c>
      <c r="R73" s="2"/>
      <c r="S73" s="2">
        <v>-9</v>
      </c>
      <c r="T73" s="2"/>
      <c r="U73" s="2"/>
      <c r="V73" s="2">
        <v>-10</v>
      </c>
      <c r="W73" s="2"/>
      <c r="X73" s="2">
        <v>-12</v>
      </c>
      <c r="Y73" s="2"/>
      <c r="Z73" s="2">
        <v>-11</v>
      </c>
      <c r="AA73" s="2"/>
      <c r="AB73" s="2">
        <v>-14</v>
      </c>
      <c r="AD73" s="2">
        <v>-12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</row>
    <row r="74" spans="1:73">
      <c r="A74" s="8"/>
      <c r="C74" s="8" t="s">
        <v>70</v>
      </c>
      <c r="D74" s="8"/>
      <c r="F74" s="8"/>
      <c r="G74" s="5"/>
      <c r="H74" s="3"/>
      <c r="I74" s="3"/>
      <c r="J74" s="3"/>
      <c r="L74" s="3"/>
      <c r="M74" s="232" t="s">
        <v>549</v>
      </c>
      <c r="N74" s="232"/>
      <c r="O74" s="232"/>
      <c r="P74" s="232"/>
      <c r="Q74" s="232"/>
      <c r="R74" s="6"/>
      <c r="S74" s="3"/>
      <c r="T74" s="3"/>
      <c r="U74" s="3"/>
      <c r="V74" s="7" t="str">
        <f>V8</f>
        <v>2025</v>
      </c>
      <c r="W74" s="3"/>
      <c r="X74" s="3"/>
      <c r="Y74" s="5"/>
      <c r="Z74" s="5"/>
      <c r="AA74" s="5"/>
      <c r="AC74" s="5"/>
    </row>
    <row r="75" spans="1:73">
      <c r="A75" s="8" t="s">
        <v>71</v>
      </c>
      <c r="B75" s="8"/>
      <c r="C75" s="8" t="s">
        <v>72</v>
      </c>
      <c r="D75" s="8"/>
      <c r="F75" s="8"/>
      <c r="G75" s="5">
        <f>G9</f>
        <v>2024</v>
      </c>
      <c r="H75" s="3"/>
      <c r="I75" s="5">
        <f>I9</f>
        <v>2024</v>
      </c>
      <c r="J75" s="3"/>
      <c r="K75" s="5">
        <f>K9</f>
        <v>2024</v>
      </c>
      <c r="L75" s="6"/>
      <c r="M75" s="5">
        <f>M9</f>
        <v>2024</v>
      </c>
      <c r="N75" s="6"/>
      <c r="O75" s="6" t="s">
        <v>6</v>
      </c>
      <c r="P75" s="6"/>
      <c r="Q75" s="6"/>
      <c r="R75" s="6"/>
      <c r="S75" s="6"/>
      <c r="T75" s="6" t="s">
        <v>7</v>
      </c>
      <c r="U75" s="6"/>
      <c r="V75" s="9" t="s">
        <v>8</v>
      </c>
      <c r="W75" s="6"/>
      <c r="X75" s="6"/>
      <c r="Y75" s="6"/>
      <c r="Z75" s="8"/>
      <c r="AA75" s="5"/>
      <c r="AB75" s="8" t="s">
        <v>9</v>
      </c>
      <c r="AC75" s="8"/>
      <c r="AD75" s="5" t="str">
        <f>AD9</f>
        <v>2025</v>
      </c>
    </row>
    <row r="76" spans="1:73">
      <c r="A76" s="10" t="s">
        <v>73</v>
      </c>
      <c r="B76" s="8"/>
      <c r="C76" s="10" t="s">
        <v>74</v>
      </c>
      <c r="D76" s="8"/>
      <c r="E76" s="10" t="s">
        <v>75</v>
      </c>
      <c r="F76" s="48"/>
      <c r="G76" s="11" t="s">
        <v>12</v>
      </c>
      <c r="H76" s="3"/>
      <c r="I76" s="12" t="s">
        <v>13</v>
      </c>
      <c r="J76" s="6"/>
      <c r="K76" s="13" t="s">
        <v>14</v>
      </c>
      <c r="L76" s="6"/>
      <c r="M76" s="13" t="s">
        <v>14</v>
      </c>
      <c r="N76" s="6"/>
      <c r="O76" s="13" t="s">
        <v>15</v>
      </c>
      <c r="P76" s="6"/>
      <c r="Q76" s="14" t="s">
        <v>16</v>
      </c>
      <c r="R76" s="9"/>
      <c r="S76" s="13" t="s">
        <v>17</v>
      </c>
      <c r="T76" s="13" t="s">
        <v>10</v>
      </c>
      <c r="U76" s="6"/>
      <c r="V76" s="14" t="s">
        <v>18</v>
      </c>
      <c r="W76" s="6"/>
      <c r="X76" s="13" t="s">
        <v>19</v>
      </c>
      <c r="Y76" s="6"/>
      <c r="Z76" s="10" t="s">
        <v>20</v>
      </c>
      <c r="AA76" s="8"/>
      <c r="AB76" s="10" t="s">
        <v>21</v>
      </c>
      <c r="AC76" s="8"/>
      <c r="AD76" s="10" t="s">
        <v>18</v>
      </c>
    </row>
    <row r="77" spans="1:73">
      <c r="A77" s="8"/>
    </row>
    <row r="78" spans="1:73">
      <c r="A78" s="8"/>
      <c r="C78" s="21" t="s">
        <v>120</v>
      </c>
      <c r="D78" s="21"/>
    </row>
    <row r="79" spans="1:73">
      <c r="A79" s="8"/>
      <c r="C79" s="21" t="s">
        <v>93</v>
      </c>
      <c r="D79" s="21"/>
    </row>
    <row r="80" spans="1:73">
      <c r="A80" s="8">
        <v>1</v>
      </c>
      <c r="B80" s="8"/>
      <c r="C80" s="8">
        <v>551</v>
      </c>
      <c r="D80" s="8"/>
      <c r="E80" s="39" t="s">
        <v>95</v>
      </c>
      <c r="F80" s="49"/>
      <c r="G80" s="19">
        <v>0</v>
      </c>
      <c r="I80" s="19">
        <v>0</v>
      </c>
      <c r="K80" s="19">
        <f>SUM(G80:J80)</f>
        <v>0</v>
      </c>
      <c r="M80" s="19"/>
      <c r="N80" s="19"/>
      <c r="O80" s="19">
        <v>0</v>
      </c>
      <c r="Q80" s="19">
        <v>0</v>
      </c>
      <c r="S80" s="19">
        <f>+M80+Q80</f>
        <v>0</v>
      </c>
      <c r="T80" s="19"/>
      <c r="V80" s="19">
        <f>+K80+S80</f>
        <v>0</v>
      </c>
      <c r="W80" s="19"/>
      <c r="X80" s="19">
        <v>0</v>
      </c>
      <c r="Y80" s="19"/>
      <c r="Z80" s="19">
        <v>0</v>
      </c>
      <c r="AB80" s="19">
        <v>0</v>
      </c>
      <c r="AD80" s="19">
        <f>+V80+X80+Z80+AB80</f>
        <v>0</v>
      </c>
    </row>
    <row r="81" spans="1:30">
      <c r="A81" s="8">
        <v>2</v>
      </c>
      <c r="B81" s="8"/>
      <c r="C81" s="8">
        <v>552</v>
      </c>
      <c r="D81" s="8"/>
      <c r="E81" s="39" t="s">
        <v>97</v>
      </c>
      <c r="F81" s="15"/>
      <c r="G81" s="24">
        <v>101731.79</v>
      </c>
      <c r="I81" s="24">
        <v>0</v>
      </c>
      <c r="K81" s="24">
        <f>SUM(G81:J81)</f>
        <v>101731.79</v>
      </c>
      <c r="M81" s="24"/>
      <c r="N81" s="24"/>
      <c r="O81" s="24">
        <v>0</v>
      </c>
      <c r="P81" s="24"/>
      <c r="Q81" s="24">
        <v>317</v>
      </c>
      <c r="R81" s="24"/>
      <c r="S81" s="24">
        <f>+M81+Q81</f>
        <v>317</v>
      </c>
      <c r="T81" s="24"/>
      <c r="U81" s="24"/>
      <c r="V81" s="24">
        <f>+K81+S81</f>
        <v>102048.79</v>
      </c>
      <c r="W81" s="24"/>
      <c r="X81" s="24">
        <v>0</v>
      </c>
      <c r="Y81" s="24"/>
      <c r="Z81" s="24">
        <v>2476</v>
      </c>
      <c r="AA81" s="24"/>
      <c r="AB81" s="24">
        <v>0</v>
      </c>
      <c r="AC81" s="24"/>
      <c r="AD81" s="24">
        <f t="shared" ref="AD81:AD83" si="15">+V81+X81+Z81+AB81</f>
        <v>104524.79</v>
      </c>
    </row>
    <row r="82" spans="1:30">
      <c r="A82" s="8">
        <v>3</v>
      </c>
      <c r="B82" s="8"/>
      <c r="C82" s="8">
        <v>553</v>
      </c>
      <c r="D82" s="8"/>
      <c r="E82" s="39" t="s">
        <v>121</v>
      </c>
      <c r="F82" s="15"/>
      <c r="G82" s="24">
        <v>109759.61</v>
      </c>
      <c r="I82" s="24">
        <v>0</v>
      </c>
      <c r="K82" s="24">
        <f>SUM(G82:J82)</f>
        <v>109759.61</v>
      </c>
      <c r="M82" s="24"/>
      <c r="N82" s="24"/>
      <c r="O82" s="24">
        <v>0</v>
      </c>
      <c r="P82" s="24"/>
      <c r="Q82" s="24">
        <v>346</v>
      </c>
      <c r="R82" s="24"/>
      <c r="S82" s="24">
        <f>+M82+Q82</f>
        <v>346</v>
      </c>
      <c r="T82" s="24"/>
      <c r="U82" s="24"/>
      <c r="V82" s="24">
        <f>+K82+S82</f>
        <v>110105.61</v>
      </c>
      <c r="W82" s="24"/>
      <c r="X82" s="24">
        <v>0</v>
      </c>
      <c r="Y82" s="24"/>
      <c r="Z82" s="24">
        <v>2696</v>
      </c>
      <c r="AA82" s="24"/>
      <c r="AB82" s="24">
        <v>0</v>
      </c>
      <c r="AC82" s="24"/>
      <c r="AD82" s="24">
        <f t="shared" si="15"/>
        <v>112801.61</v>
      </c>
    </row>
    <row r="83" spans="1:30">
      <c r="A83" s="8">
        <v>4</v>
      </c>
      <c r="B83" s="8"/>
      <c r="C83" s="8">
        <v>554</v>
      </c>
      <c r="D83" s="8"/>
      <c r="E83" s="39" t="s">
        <v>122</v>
      </c>
      <c r="F83" s="15"/>
      <c r="G83" s="27">
        <v>3223774.52</v>
      </c>
      <c r="I83" s="27">
        <v>0</v>
      </c>
      <c r="K83" s="27">
        <f>SUM(G83:J83)</f>
        <v>3223774.52</v>
      </c>
      <c r="M83" s="24"/>
      <c r="N83" s="24"/>
      <c r="O83" s="27">
        <v>0</v>
      </c>
      <c r="P83" s="24"/>
      <c r="Q83" s="27">
        <v>2806</v>
      </c>
      <c r="S83" s="27">
        <f>+M83+Q83</f>
        <v>2806</v>
      </c>
      <c r="T83" s="24"/>
      <c r="V83" s="27">
        <f>+K83+S83</f>
        <v>3226580.52</v>
      </c>
      <c r="W83" s="24"/>
      <c r="X83" s="27">
        <v>0</v>
      </c>
      <c r="Y83" s="24"/>
      <c r="Z83" s="27">
        <v>21897</v>
      </c>
      <c r="AB83" s="27">
        <v>0</v>
      </c>
      <c r="AD83" s="27">
        <f t="shared" si="15"/>
        <v>3248477.52</v>
      </c>
    </row>
    <row r="84" spans="1:30">
      <c r="A84" s="8"/>
      <c r="E84" s="52"/>
      <c r="G84" s="24"/>
      <c r="I84" s="24"/>
      <c r="K84" s="24"/>
      <c r="M84" s="24"/>
      <c r="N84" s="24"/>
      <c r="O84" s="24"/>
      <c r="P84" s="24"/>
      <c r="Q84" s="24"/>
      <c r="V84" s="24"/>
      <c r="W84" s="24"/>
      <c r="X84" s="24"/>
      <c r="Y84" s="24"/>
      <c r="Z84" s="24"/>
      <c r="AB84" s="24"/>
      <c r="AD84" s="24"/>
    </row>
    <row r="85" spans="1:30">
      <c r="A85" s="8">
        <v>5</v>
      </c>
      <c r="B85" s="8"/>
      <c r="C85" s="233" t="s">
        <v>104</v>
      </c>
      <c r="D85" s="233"/>
      <c r="E85" s="233"/>
      <c r="F85" s="15"/>
      <c r="G85" s="27">
        <f>SUM(G80:G84)</f>
        <v>3435265.92</v>
      </c>
      <c r="I85" s="27">
        <f>SUM(I80:I84)</f>
        <v>0</v>
      </c>
      <c r="K85" s="27">
        <f>SUM(K80:K84)</f>
        <v>3435265.92</v>
      </c>
      <c r="M85" s="24"/>
      <c r="N85" s="24"/>
      <c r="O85" s="27">
        <f>SUM(O80:O84)</f>
        <v>0</v>
      </c>
      <c r="P85" s="24"/>
      <c r="Q85" s="27">
        <f>SUM(Q80:Q84)</f>
        <v>3469</v>
      </c>
      <c r="S85" s="27">
        <f>SUM(S80:S84)</f>
        <v>3469</v>
      </c>
      <c r="T85" s="24"/>
      <c r="V85" s="27">
        <f>SUM(V80:V84)</f>
        <v>3438734.92</v>
      </c>
      <c r="W85" s="24"/>
      <c r="X85" s="27">
        <f>SUM(X80:X84)</f>
        <v>0</v>
      </c>
      <c r="Y85" s="24"/>
      <c r="Z85" s="27">
        <f>SUM(Z80:Z84)</f>
        <v>27069</v>
      </c>
      <c r="AB85" s="27">
        <f>SUM(AB80:AB84)</f>
        <v>0</v>
      </c>
      <c r="AD85" s="27">
        <f>SUM(AD80:AD84)</f>
        <v>3465803.92</v>
      </c>
    </row>
    <row r="86" spans="1:30">
      <c r="A86" s="8"/>
      <c r="E86" s="52"/>
      <c r="F86" s="15"/>
      <c r="G86" s="24"/>
      <c r="I86" s="24"/>
      <c r="K86" s="24"/>
      <c r="M86" s="24"/>
      <c r="N86" s="24"/>
      <c r="O86" s="24"/>
      <c r="P86" s="24"/>
      <c r="Q86" s="24"/>
      <c r="S86" s="24"/>
      <c r="T86" s="24"/>
      <c r="V86" s="24"/>
      <c r="W86" s="24"/>
      <c r="X86" s="24"/>
      <c r="Y86" s="24"/>
      <c r="Z86" s="24"/>
      <c r="AB86" s="24"/>
      <c r="AD86" s="24"/>
    </row>
    <row r="87" spans="1:30">
      <c r="A87" s="8">
        <v>6</v>
      </c>
      <c r="B87" s="8"/>
      <c r="C87" s="233" t="s">
        <v>123</v>
      </c>
      <c r="D87" s="233"/>
      <c r="E87" s="233"/>
      <c r="F87" s="15"/>
      <c r="G87" s="27">
        <f>+G85+G66</f>
        <v>11019881.49</v>
      </c>
      <c r="I87" s="27">
        <f>+I85+I66</f>
        <v>0</v>
      </c>
      <c r="K87" s="27">
        <f>+K85+K66</f>
        <v>11019881.49</v>
      </c>
      <c r="M87" s="24"/>
      <c r="N87" s="24"/>
      <c r="O87" s="27">
        <f>+O85+O66</f>
        <v>0</v>
      </c>
      <c r="P87" s="24"/>
      <c r="Q87" s="27">
        <f>+Q85+Q66</f>
        <v>31127</v>
      </c>
      <c r="S87" s="27">
        <f>+S85+S66</f>
        <v>31127</v>
      </c>
      <c r="T87" s="24"/>
      <c r="V87" s="27">
        <f>+V85+V66</f>
        <v>11051008.49</v>
      </c>
      <c r="W87" s="24"/>
      <c r="X87" s="27">
        <f>+X85+X66</f>
        <v>0</v>
      </c>
      <c r="Y87" s="24"/>
      <c r="Z87" s="27">
        <f>+Z85+Z66</f>
        <v>242891</v>
      </c>
      <c r="AB87" s="27">
        <f>+AB85+AB66</f>
        <v>0</v>
      </c>
      <c r="AD87" s="27">
        <f>+AD85+AD66</f>
        <v>11293899.49</v>
      </c>
    </row>
    <row r="88" spans="1:30">
      <c r="A88" s="8"/>
      <c r="E88" s="52"/>
      <c r="G88" s="24"/>
      <c r="I88" s="24"/>
      <c r="K88" s="24"/>
      <c r="M88" s="24"/>
      <c r="N88" s="24"/>
      <c r="O88" s="24"/>
      <c r="P88" s="24"/>
      <c r="Q88" s="24"/>
      <c r="V88" s="24"/>
      <c r="W88" s="24"/>
      <c r="X88" s="24"/>
      <c r="Y88" s="24"/>
      <c r="Z88" s="24"/>
      <c r="AB88" s="24">
        <f>+AB86+AB67</f>
        <v>0</v>
      </c>
      <c r="AD88" s="24"/>
    </row>
    <row r="89" spans="1:30">
      <c r="A89" s="8"/>
      <c r="C89" s="21" t="s">
        <v>124</v>
      </c>
      <c r="D89" s="21"/>
      <c r="E89" s="52"/>
      <c r="G89" s="24"/>
      <c r="I89" s="24"/>
      <c r="K89" s="24"/>
      <c r="M89" s="24"/>
      <c r="N89" s="24"/>
      <c r="O89" s="24"/>
      <c r="P89" s="24"/>
      <c r="Q89" s="24"/>
      <c r="V89" s="24"/>
      <c r="W89" s="24"/>
      <c r="X89" s="24"/>
      <c r="Y89" s="24"/>
      <c r="Z89" s="24"/>
      <c r="AB89" s="24"/>
      <c r="AD89" s="24"/>
    </row>
    <row r="90" spans="1:30">
      <c r="A90" s="8">
        <v>7</v>
      </c>
      <c r="B90" s="8"/>
      <c r="C90" s="5" t="s">
        <v>125</v>
      </c>
      <c r="D90" s="8"/>
      <c r="E90" s="39" t="s">
        <v>126</v>
      </c>
      <c r="F90" s="15"/>
      <c r="G90" s="50">
        <v>0</v>
      </c>
      <c r="H90" s="51"/>
      <c r="I90" s="50">
        <v>0</v>
      </c>
      <c r="J90" s="51"/>
      <c r="K90" s="50">
        <f t="shared" ref="K90:K95" si="16">SUM(G90:J90)</f>
        <v>0</v>
      </c>
      <c r="L90" s="51"/>
      <c r="M90" s="50"/>
      <c r="N90" s="50"/>
      <c r="O90" s="50">
        <v>0</v>
      </c>
      <c r="P90" s="50"/>
      <c r="Q90" s="50">
        <v>0</v>
      </c>
      <c r="R90" s="50"/>
      <c r="S90" s="50">
        <f t="shared" ref="S90:S95" si="17">+M90+Q90</f>
        <v>0</v>
      </c>
      <c r="T90" s="50"/>
      <c r="U90" s="50"/>
      <c r="V90" s="50">
        <f t="shared" ref="V90:V95" si="18">+K90+S90</f>
        <v>0</v>
      </c>
      <c r="W90" s="50"/>
      <c r="X90" s="50">
        <v>0</v>
      </c>
      <c r="Y90" s="50"/>
      <c r="Z90" s="50">
        <v>0</v>
      </c>
      <c r="AA90" s="50"/>
      <c r="AB90" s="50">
        <v>0</v>
      </c>
      <c r="AC90" s="50"/>
      <c r="AD90" s="50">
        <f t="shared" ref="AD90" si="19">+V90+X90+Z90+AB90</f>
        <v>0</v>
      </c>
    </row>
    <row r="91" spans="1:30">
      <c r="A91" s="8">
        <v>8</v>
      </c>
      <c r="B91" s="8"/>
      <c r="C91" s="8">
        <v>555</v>
      </c>
      <c r="D91" s="8"/>
      <c r="E91" s="39" t="s">
        <v>127</v>
      </c>
      <c r="F91" s="15"/>
      <c r="G91" s="50">
        <v>0</v>
      </c>
      <c r="H91" s="51"/>
      <c r="I91" s="50">
        <v>0</v>
      </c>
      <c r="J91" s="51"/>
      <c r="K91" s="50">
        <f t="shared" si="16"/>
        <v>0</v>
      </c>
      <c r="L91" s="51"/>
      <c r="M91" s="50"/>
      <c r="N91" s="50"/>
      <c r="O91" s="50">
        <f>-M91</f>
        <v>0</v>
      </c>
      <c r="P91" s="50"/>
      <c r="Q91" s="50">
        <v>0</v>
      </c>
      <c r="R91" s="50"/>
      <c r="S91" s="50">
        <f t="shared" si="17"/>
        <v>0</v>
      </c>
      <c r="T91" s="50"/>
      <c r="U91" s="50"/>
      <c r="V91" s="50">
        <f t="shared" si="18"/>
        <v>0</v>
      </c>
      <c r="W91" s="50"/>
      <c r="X91" s="50">
        <v>0</v>
      </c>
      <c r="Y91" s="50"/>
      <c r="Z91" s="50">
        <v>0</v>
      </c>
      <c r="AA91" s="50"/>
      <c r="AB91" s="50">
        <v>0</v>
      </c>
      <c r="AC91" s="50"/>
      <c r="AD91" s="50">
        <f t="shared" ref="AD91:AD93" si="20">+V91+X91+Z91+AB91</f>
        <v>0</v>
      </c>
    </row>
    <row r="92" spans="1:30">
      <c r="A92" s="8">
        <v>9</v>
      </c>
      <c r="B92" s="8"/>
      <c r="C92" s="8">
        <v>556</v>
      </c>
      <c r="D92" s="8"/>
      <c r="E92" s="39" t="s">
        <v>128</v>
      </c>
      <c r="F92" s="15"/>
      <c r="G92" s="24">
        <v>84.21</v>
      </c>
      <c r="I92" s="24">
        <v>0</v>
      </c>
      <c r="K92" s="24">
        <f t="shared" si="16"/>
        <v>84.21</v>
      </c>
      <c r="M92" s="24"/>
      <c r="N92" s="24"/>
      <c r="O92" s="24">
        <v>0</v>
      </c>
      <c r="P92" s="24"/>
      <c r="Q92" s="24">
        <v>0</v>
      </c>
      <c r="R92" s="24"/>
      <c r="S92" s="24">
        <f t="shared" si="17"/>
        <v>0</v>
      </c>
      <c r="T92" s="24"/>
      <c r="U92" s="24"/>
      <c r="V92" s="24">
        <f t="shared" si="18"/>
        <v>84.21</v>
      </c>
      <c r="W92" s="24"/>
      <c r="X92" s="24">
        <v>0</v>
      </c>
      <c r="Y92" s="24"/>
      <c r="Z92" s="24">
        <v>3</v>
      </c>
      <c r="AA92" s="24"/>
      <c r="AB92" s="24">
        <v>0</v>
      </c>
      <c r="AC92" s="24"/>
      <c r="AD92" s="24">
        <f t="shared" si="20"/>
        <v>87.21</v>
      </c>
    </row>
    <row r="93" spans="1:30">
      <c r="A93" s="8">
        <v>10</v>
      </c>
      <c r="B93" s="8"/>
      <c r="C93" s="8">
        <v>557</v>
      </c>
      <c r="D93" s="8"/>
      <c r="E93" s="39" t="s">
        <v>129</v>
      </c>
      <c r="F93" s="15"/>
      <c r="G93" s="24">
        <v>7430223.3099999996</v>
      </c>
      <c r="I93" s="24">
        <v>-4</v>
      </c>
      <c r="K93" s="24">
        <f t="shared" si="16"/>
        <v>7430219.3099999996</v>
      </c>
      <c r="M93" s="24"/>
      <c r="N93" s="24"/>
      <c r="O93" s="24">
        <v>0</v>
      </c>
      <c r="P93" s="24"/>
      <c r="Q93" s="24">
        <v>32272</v>
      </c>
      <c r="R93" s="24"/>
      <c r="S93" s="24">
        <f t="shared" si="17"/>
        <v>32272</v>
      </c>
      <c r="T93" s="24"/>
      <c r="U93" s="24"/>
      <c r="V93" s="24">
        <f t="shared" si="18"/>
        <v>7462491.3099999996</v>
      </c>
      <c r="W93" s="24"/>
      <c r="X93" s="24">
        <v>0</v>
      </c>
      <c r="Y93" s="24"/>
      <c r="Z93" s="24">
        <v>251828</v>
      </c>
      <c r="AA93" s="24"/>
      <c r="AB93" s="24">
        <v>0</v>
      </c>
      <c r="AC93" s="24"/>
      <c r="AD93" s="24">
        <f t="shared" si="20"/>
        <v>7714319.3099999996</v>
      </c>
    </row>
    <row r="94" spans="1:30">
      <c r="A94" s="8">
        <v>11</v>
      </c>
      <c r="B94" s="8"/>
      <c r="C94" s="8">
        <v>557</v>
      </c>
      <c r="D94" s="8"/>
      <c r="E94" s="39" t="s">
        <v>130</v>
      </c>
      <c r="F94" s="15"/>
      <c r="G94" s="50">
        <v>0</v>
      </c>
      <c r="H94" s="51"/>
      <c r="I94" s="50">
        <v>0</v>
      </c>
      <c r="J94" s="51"/>
      <c r="K94" s="50">
        <f t="shared" si="16"/>
        <v>0</v>
      </c>
      <c r="L94" s="51"/>
      <c r="M94" s="50"/>
      <c r="N94" s="50"/>
      <c r="O94" s="50">
        <f>-M94</f>
        <v>0</v>
      </c>
      <c r="P94" s="50"/>
      <c r="Q94" s="50">
        <v>0</v>
      </c>
      <c r="R94" s="51"/>
      <c r="S94" s="50">
        <f t="shared" si="17"/>
        <v>0</v>
      </c>
      <c r="T94" s="50"/>
      <c r="U94" s="51"/>
      <c r="V94" s="50">
        <f t="shared" si="18"/>
        <v>0</v>
      </c>
      <c r="W94" s="50"/>
      <c r="X94" s="50">
        <v>0</v>
      </c>
      <c r="Y94" s="50"/>
      <c r="Z94" s="50">
        <v>0</v>
      </c>
      <c r="AA94" s="51"/>
      <c r="AB94" s="50">
        <v>0</v>
      </c>
      <c r="AC94" s="51"/>
      <c r="AD94" s="50">
        <f>+V94+X94+Z94+AB94</f>
        <v>0</v>
      </c>
    </row>
    <row r="95" spans="1:30">
      <c r="A95" s="8">
        <v>12</v>
      </c>
      <c r="B95" s="8"/>
      <c r="C95" s="8">
        <v>557</v>
      </c>
      <c r="D95" s="8"/>
      <c r="E95" s="39" t="s">
        <v>131</v>
      </c>
      <c r="F95" s="15"/>
      <c r="G95" s="27">
        <v>-14383038.140000001</v>
      </c>
      <c r="H95" s="24"/>
      <c r="I95" s="27">
        <v>14383038</v>
      </c>
      <c r="J95" s="24"/>
      <c r="K95" s="27">
        <f t="shared" si="16"/>
        <v>-0.14000000059604645</v>
      </c>
      <c r="L95" s="24"/>
      <c r="M95" s="24"/>
      <c r="N95" s="24"/>
      <c r="O95" s="24"/>
      <c r="P95" s="24"/>
      <c r="Q95" s="27">
        <v>0</v>
      </c>
      <c r="R95" s="24"/>
      <c r="S95" s="27">
        <f t="shared" si="17"/>
        <v>0</v>
      </c>
      <c r="T95" s="24"/>
      <c r="U95" s="24"/>
      <c r="V95" s="27">
        <f t="shared" si="18"/>
        <v>-0.14000000059604645</v>
      </c>
      <c r="W95" s="24"/>
      <c r="X95" s="24"/>
      <c r="Y95" s="24"/>
      <c r="Z95" s="27">
        <v>0</v>
      </c>
      <c r="AA95" s="24"/>
      <c r="AB95" s="24"/>
      <c r="AC95" s="24"/>
      <c r="AD95" s="27">
        <f>+V95+X95+Z95+AB95</f>
        <v>-0.14000000059604645</v>
      </c>
    </row>
    <row r="96" spans="1:30">
      <c r="A96" s="8"/>
      <c r="G96" s="24"/>
      <c r="I96" s="24"/>
      <c r="K96" s="24"/>
      <c r="M96" s="24"/>
      <c r="N96" s="24"/>
      <c r="O96" s="24"/>
      <c r="P96" s="24"/>
      <c r="Q96" s="24"/>
      <c r="V96" s="24"/>
      <c r="W96" s="24"/>
      <c r="X96" s="24"/>
      <c r="Y96" s="24"/>
      <c r="Z96" s="24"/>
      <c r="AB96" s="24"/>
      <c r="AD96" s="24"/>
    </row>
    <row r="97" spans="1:73">
      <c r="A97" s="8">
        <v>13</v>
      </c>
      <c r="B97" s="8"/>
      <c r="C97" s="233" t="s">
        <v>132</v>
      </c>
      <c r="D97" s="233"/>
      <c r="E97" s="233"/>
      <c r="F97" s="15"/>
      <c r="G97" s="27">
        <f>SUM(G90:G96)</f>
        <v>-6952730.620000001</v>
      </c>
      <c r="I97" s="27">
        <f>SUM(I90:I96)</f>
        <v>14383034</v>
      </c>
      <c r="K97" s="27">
        <f>SUM(K90:K96)</f>
        <v>7430303.379999999</v>
      </c>
      <c r="M97" s="24"/>
      <c r="N97" s="24"/>
      <c r="O97" s="27">
        <f>SUM(O90:O96)</f>
        <v>0</v>
      </c>
      <c r="P97" s="24"/>
      <c r="Q97" s="27">
        <f>SUM(Q90:Q96)</f>
        <v>32272</v>
      </c>
      <c r="S97" s="27">
        <f>SUM(S90:S96)</f>
        <v>32272</v>
      </c>
      <c r="T97" s="24"/>
      <c r="V97" s="27">
        <f>SUM(V90:V96)</f>
        <v>7462575.379999999</v>
      </c>
      <c r="W97" s="24"/>
      <c r="X97" s="27">
        <f>SUM(X90:X96)</f>
        <v>0</v>
      </c>
      <c r="Y97" s="24"/>
      <c r="Z97" s="27">
        <f>SUM(Z90:Z96)</f>
        <v>251831</v>
      </c>
      <c r="AB97" s="27">
        <f>SUM(AB90:AB96)</f>
        <v>0</v>
      </c>
      <c r="AD97" s="27">
        <f>SUM(AD90:AD96)</f>
        <v>7714406.379999999</v>
      </c>
    </row>
    <row r="98" spans="1:73">
      <c r="A98" s="8"/>
      <c r="F98" s="15"/>
      <c r="G98" s="24"/>
      <c r="I98" s="24"/>
      <c r="K98" s="24"/>
      <c r="M98" s="24"/>
      <c r="N98" s="24"/>
      <c r="O98" s="24"/>
      <c r="P98" s="24"/>
      <c r="Q98" s="24"/>
      <c r="S98" s="24"/>
      <c r="T98" s="24"/>
      <c r="V98" s="24"/>
      <c r="W98" s="24"/>
      <c r="X98" s="24"/>
      <c r="Y98" s="24"/>
      <c r="Z98" s="24"/>
      <c r="AB98" s="24"/>
      <c r="AD98" s="24"/>
    </row>
    <row r="99" spans="1:73">
      <c r="A99" s="8">
        <v>14</v>
      </c>
      <c r="B99" s="8"/>
      <c r="C99" s="233" t="s">
        <v>133</v>
      </c>
      <c r="D99" s="233"/>
      <c r="E99" s="233"/>
      <c r="F99" s="15"/>
      <c r="G99" s="27">
        <f>+G97+G87+G32+G55</f>
        <v>94979117.090000004</v>
      </c>
      <c r="I99" s="27">
        <f>+I97+I87+I32+I55</f>
        <v>-14184257</v>
      </c>
      <c r="K99" s="27">
        <f>+K97+K87+K32+K55</f>
        <v>80794860.090000004</v>
      </c>
      <c r="M99" s="24"/>
      <c r="N99" s="24"/>
      <c r="O99" s="27">
        <f>+O97+O87+O32+O55</f>
        <v>0</v>
      </c>
      <c r="P99" s="24"/>
      <c r="Q99" s="27">
        <f>+Q97+Q87+Q32+Q55</f>
        <v>1338312.81</v>
      </c>
      <c r="S99" s="27">
        <f>+S97+S87+S32+S55</f>
        <v>1338312.81</v>
      </c>
      <c r="T99" s="24"/>
      <c r="V99" s="27">
        <f>+V97+V87+V32+V55</f>
        <v>82133172.900000006</v>
      </c>
      <c r="W99" s="24"/>
      <c r="X99" s="27">
        <f>+X97+X87+X32+X55</f>
        <v>0</v>
      </c>
      <c r="Y99" s="24"/>
      <c r="Z99" s="27">
        <f>+Z97+Z87+Z32+Z55</f>
        <v>1659187</v>
      </c>
      <c r="AB99" s="27">
        <f>+AB97+AB87+AB32+AB55</f>
        <v>0</v>
      </c>
      <c r="AD99" s="27">
        <f>+AD97+AD87+AD32+AD55</f>
        <v>83792359.900000006</v>
      </c>
    </row>
    <row r="100" spans="1:73">
      <c r="A100" s="8"/>
    </row>
    <row r="101" spans="1:73">
      <c r="A101" s="231" t="s">
        <v>0</v>
      </c>
      <c r="B101" s="231"/>
      <c r="C101" s="231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</row>
    <row r="102" spans="1:73">
      <c r="A102" s="231" t="s">
        <v>69</v>
      </c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  <c r="O102" s="231"/>
      <c r="P102" s="231"/>
      <c r="Q102" s="231"/>
      <c r="R102" s="231"/>
      <c r="S102" s="231"/>
      <c r="T102" s="231"/>
      <c r="U102" s="231"/>
      <c r="V102" s="231"/>
      <c r="W102" s="231"/>
      <c r="X102" s="231"/>
      <c r="Y102" s="231"/>
      <c r="Z102" s="231"/>
      <c r="AA102" s="231"/>
      <c r="AB102" s="231"/>
      <c r="AC102" s="231"/>
      <c r="AD102" s="231"/>
    </row>
    <row r="103" spans="1:73">
      <c r="A103" s="234" t="str">
        <f>+A3</f>
        <v>For Twelve Months Ended December 31, 2025</v>
      </c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</row>
    <row r="104" spans="1:73">
      <c r="A104" s="46"/>
      <c r="B104" s="46"/>
      <c r="C104" s="46"/>
      <c r="D104" s="46"/>
      <c r="E104" s="46"/>
      <c r="F104" s="46"/>
      <c r="G104" s="46"/>
    </row>
    <row r="105" spans="1:73">
      <c r="A105" s="46"/>
      <c r="B105" s="46"/>
      <c r="C105" s="46"/>
      <c r="D105" s="46"/>
      <c r="E105" s="46"/>
      <c r="F105" s="46"/>
      <c r="G105" s="46"/>
    </row>
    <row r="106" spans="1:73">
      <c r="A106" s="2">
        <v>-1</v>
      </c>
      <c r="B106" s="47"/>
      <c r="C106" s="2">
        <v>-2</v>
      </c>
      <c r="D106" s="47"/>
      <c r="E106" s="2">
        <v>-3</v>
      </c>
      <c r="F106" s="4"/>
      <c r="G106" s="2">
        <v>-4</v>
      </c>
      <c r="I106" s="2">
        <v>-5</v>
      </c>
      <c r="J106" s="2"/>
      <c r="K106" s="2">
        <v>-6</v>
      </c>
      <c r="L106" s="3"/>
      <c r="M106" s="2">
        <v>-7</v>
      </c>
      <c r="N106" s="2"/>
      <c r="O106" s="2">
        <v>-8</v>
      </c>
      <c r="P106" s="2"/>
      <c r="Q106" s="2">
        <v>-8</v>
      </c>
      <c r="R106" s="2"/>
      <c r="S106" s="2">
        <v>-9</v>
      </c>
      <c r="T106" s="2"/>
      <c r="U106" s="2"/>
      <c r="V106" s="2">
        <v>-10</v>
      </c>
      <c r="W106" s="2"/>
      <c r="X106" s="2">
        <v>-12</v>
      </c>
      <c r="Y106" s="2"/>
      <c r="Z106" s="2">
        <v>-11</v>
      </c>
      <c r="AA106" s="2"/>
      <c r="AB106" s="2">
        <v>-14</v>
      </c>
      <c r="AD106" s="2">
        <v>-12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</row>
    <row r="107" spans="1:73">
      <c r="A107" s="8"/>
      <c r="C107" s="8" t="s">
        <v>70</v>
      </c>
      <c r="D107" s="8"/>
      <c r="F107" s="8"/>
      <c r="G107" s="5"/>
      <c r="H107" s="3"/>
      <c r="I107" s="3"/>
      <c r="J107" s="3"/>
      <c r="L107" s="3"/>
      <c r="M107" s="232" t="s">
        <v>549</v>
      </c>
      <c r="N107" s="232"/>
      <c r="O107" s="232"/>
      <c r="P107" s="232"/>
      <c r="Q107" s="232"/>
      <c r="R107" s="6"/>
      <c r="S107" s="3"/>
      <c r="T107" s="3"/>
      <c r="U107" s="3"/>
      <c r="V107" s="7" t="str">
        <f>V8</f>
        <v>2025</v>
      </c>
      <c r="W107" s="3"/>
      <c r="X107" s="3"/>
      <c r="Y107" s="5"/>
      <c r="Z107" s="5"/>
      <c r="AA107" s="5"/>
      <c r="AC107" s="5"/>
    </row>
    <row r="108" spans="1:73">
      <c r="A108" s="8" t="s">
        <v>71</v>
      </c>
      <c r="B108" s="8"/>
      <c r="C108" s="8" t="s">
        <v>72</v>
      </c>
      <c r="D108" s="8"/>
      <c r="F108" s="8"/>
      <c r="G108" s="5">
        <f>G9</f>
        <v>2024</v>
      </c>
      <c r="H108" s="3"/>
      <c r="I108" s="5">
        <f>I9</f>
        <v>2024</v>
      </c>
      <c r="J108" s="3"/>
      <c r="K108" s="5">
        <f>K9</f>
        <v>2024</v>
      </c>
      <c r="L108" s="6"/>
      <c r="M108" s="5">
        <f>M9</f>
        <v>2024</v>
      </c>
      <c r="N108" s="6"/>
      <c r="O108" s="6" t="s">
        <v>6</v>
      </c>
      <c r="P108" s="6"/>
      <c r="Q108" s="6"/>
      <c r="R108" s="6"/>
      <c r="S108" s="6"/>
      <c r="T108" s="6" t="s">
        <v>7</v>
      </c>
      <c r="U108" s="6"/>
      <c r="V108" s="9" t="s">
        <v>8</v>
      </c>
      <c r="W108" s="6"/>
      <c r="X108" s="6"/>
      <c r="Y108" s="6"/>
      <c r="Z108" s="8"/>
      <c r="AA108" s="5"/>
      <c r="AB108" s="8" t="s">
        <v>9</v>
      </c>
      <c r="AC108" s="8"/>
      <c r="AD108" s="5" t="str">
        <f>AD9</f>
        <v>2025</v>
      </c>
    </row>
    <row r="109" spans="1:73">
      <c r="A109" s="10" t="s">
        <v>73</v>
      </c>
      <c r="B109" s="8"/>
      <c r="C109" s="10" t="s">
        <v>74</v>
      </c>
      <c r="D109" s="8"/>
      <c r="E109" s="10" t="s">
        <v>75</v>
      </c>
      <c r="F109" s="48"/>
      <c r="G109" s="11" t="s">
        <v>12</v>
      </c>
      <c r="H109" s="3"/>
      <c r="I109" s="12" t="s">
        <v>13</v>
      </c>
      <c r="J109" s="6"/>
      <c r="K109" s="13" t="s">
        <v>14</v>
      </c>
      <c r="L109" s="6"/>
      <c r="M109" s="13" t="s">
        <v>14</v>
      </c>
      <c r="N109" s="6"/>
      <c r="O109" s="13" t="s">
        <v>15</v>
      </c>
      <c r="P109" s="6"/>
      <c r="Q109" s="14" t="s">
        <v>16</v>
      </c>
      <c r="R109" s="9"/>
      <c r="S109" s="13" t="s">
        <v>17</v>
      </c>
      <c r="T109" s="13" t="s">
        <v>10</v>
      </c>
      <c r="U109" s="6"/>
      <c r="V109" s="14" t="s">
        <v>18</v>
      </c>
      <c r="W109" s="6"/>
      <c r="X109" s="13" t="s">
        <v>19</v>
      </c>
      <c r="Y109" s="6"/>
      <c r="Z109" s="10" t="s">
        <v>20</v>
      </c>
      <c r="AA109" s="8"/>
      <c r="AB109" s="10" t="s">
        <v>21</v>
      </c>
      <c r="AC109" s="8"/>
      <c r="AD109" s="10" t="s">
        <v>18</v>
      </c>
    </row>
    <row r="110" spans="1:73">
      <c r="A110" s="8"/>
      <c r="C110" s="21" t="s">
        <v>134</v>
      </c>
      <c r="D110" s="21"/>
    </row>
    <row r="111" spans="1:73">
      <c r="A111" s="8"/>
      <c r="C111" s="21" t="s">
        <v>78</v>
      </c>
      <c r="D111" s="21"/>
    </row>
    <row r="112" spans="1:73">
      <c r="A112" s="8">
        <v>1</v>
      </c>
      <c r="B112" s="8"/>
      <c r="C112" s="8" t="s">
        <v>135</v>
      </c>
      <c r="D112" s="8"/>
      <c r="E112" s="39" t="s">
        <v>107</v>
      </c>
      <c r="F112" s="49"/>
      <c r="G112" s="19">
        <v>2806086.86</v>
      </c>
      <c r="I112" s="19">
        <v>-4302</v>
      </c>
      <c r="K112" s="19">
        <f t="shared" ref="K112:K118" si="21">SUM(G112:J112)</f>
        <v>2801784.86</v>
      </c>
      <c r="M112" s="19"/>
      <c r="N112" s="19"/>
      <c r="O112" s="19">
        <v>0</v>
      </c>
      <c r="Q112" s="19">
        <v>11568</v>
      </c>
      <c r="S112" s="19">
        <f t="shared" ref="S112:S119" si="22">+M112+Q112</f>
        <v>11568</v>
      </c>
      <c r="T112" s="19"/>
      <c r="V112" s="19">
        <f t="shared" ref="V112:V119" si="23">+K112+S112</f>
        <v>2813352.86</v>
      </c>
      <c r="W112" s="19"/>
      <c r="X112" s="19">
        <v>0</v>
      </c>
      <c r="Y112" s="19"/>
      <c r="Z112" s="19">
        <v>90270</v>
      </c>
      <c r="AB112" s="19">
        <v>0</v>
      </c>
      <c r="AD112" s="19">
        <f>+V112+X112+Z112+AB112</f>
        <v>2903622.86</v>
      </c>
    </row>
    <row r="113" spans="1:32">
      <c r="A113" s="8">
        <v>2</v>
      </c>
      <c r="B113" s="8"/>
      <c r="C113" s="8" t="s">
        <v>136</v>
      </c>
      <c r="D113" s="8"/>
      <c r="E113" s="39" t="s">
        <v>137</v>
      </c>
      <c r="F113" s="15"/>
      <c r="G113" s="24">
        <v>5097850.13</v>
      </c>
      <c r="I113" s="24">
        <v>0</v>
      </c>
      <c r="K113" s="24">
        <f t="shared" si="21"/>
        <v>5097850.13</v>
      </c>
      <c r="M113" s="24"/>
      <c r="N113" s="24"/>
      <c r="O113" s="24">
        <v>0</v>
      </c>
      <c r="P113" s="24"/>
      <c r="Q113" s="24">
        <v>17600</v>
      </c>
      <c r="R113" s="24"/>
      <c r="S113" s="24">
        <f t="shared" si="22"/>
        <v>17600</v>
      </c>
      <c r="T113" s="24"/>
      <c r="U113" s="24"/>
      <c r="V113" s="24">
        <f t="shared" si="23"/>
        <v>5115450.13</v>
      </c>
      <c r="W113" s="24"/>
      <c r="X113" s="24">
        <v>0</v>
      </c>
      <c r="Y113" s="24"/>
      <c r="Z113" s="24">
        <v>137336</v>
      </c>
      <c r="AA113" s="24"/>
      <c r="AB113" s="24">
        <v>0</v>
      </c>
      <c r="AC113" s="24"/>
      <c r="AD113" s="24">
        <f t="shared" ref="AD113:AD114" si="24">+V113+X113+Z113+AB113</f>
        <v>5252786.13</v>
      </c>
    </row>
    <row r="114" spans="1:32">
      <c r="A114" s="8">
        <v>3</v>
      </c>
      <c r="B114" s="8"/>
      <c r="C114" s="8" t="s">
        <v>138</v>
      </c>
      <c r="D114" s="8"/>
      <c r="E114" s="39" t="s">
        <v>139</v>
      </c>
      <c r="F114" s="15"/>
      <c r="G114" s="24">
        <v>2589638.04</v>
      </c>
      <c r="I114" s="24">
        <v>-4</v>
      </c>
      <c r="K114" s="24">
        <f t="shared" si="21"/>
        <v>2589634.04</v>
      </c>
      <c r="M114" s="24"/>
      <c r="N114" s="24"/>
      <c r="O114" s="24">
        <v>0</v>
      </c>
      <c r="P114" s="24"/>
      <c r="Q114" s="24">
        <v>10494</v>
      </c>
      <c r="R114" s="24"/>
      <c r="S114" s="24">
        <f t="shared" si="22"/>
        <v>10494</v>
      </c>
      <c r="T114" s="24"/>
      <c r="U114" s="24"/>
      <c r="V114" s="24">
        <f t="shared" si="23"/>
        <v>2600128.04</v>
      </c>
      <c r="W114" s="24"/>
      <c r="X114" s="24">
        <v>0</v>
      </c>
      <c r="Y114" s="24"/>
      <c r="Z114" s="24">
        <v>81889</v>
      </c>
      <c r="AA114" s="24"/>
      <c r="AB114" s="24">
        <v>0</v>
      </c>
      <c r="AC114" s="24"/>
      <c r="AD114" s="24">
        <f t="shared" si="24"/>
        <v>2682017.04</v>
      </c>
    </row>
    <row r="115" spans="1:32">
      <c r="A115" s="8">
        <v>4</v>
      </c>
      <c r="B115" s="8"/>
      <c r="C115" s="8" t="s">
        <v>140</v>
      </c>
      <c r="D115" s="8"/>
      <c r="E115" s="39" t="s">
        <v>141</v>
      </c>
      <c r="F115" s="15"/>
      <c r="G115" s="24">
        <v>1249689.99</v>
      </c>
      <c r="I115" s="24">
        <v>0</v>
      </c>
      <c r="K115" s="24">
        <f t="shared" si="21"/>
        <v>1249689.99</v>
      </c>
      <c r="M115" s="24"/>
      <c r="N115" s="24"/>
      <c r="O115" s="24">
        <v>0</v>
      </c>
      <c r="P115" s="24"/>
      <c r="Q115" s="24">
        <v>2854</v>
      </c>
      <c r="R115" s="24"/>
      <c r="S115" s="24">
        <f t="shared" si="22"/>
        <v>2854</v>
      </c>
      <c r="T115" s="24"/>
      <c r="U115" s="24"/>
      <c r="V115" s="24">
        <f t="shared" si="23"/>
        <v>1252543.99</v>
      </c>
      <c r="W115" s="24"/>
      <c r="X115" s="24">
        <v>0</v>
      </c>
      <c r="Y115" s="24"/>
      <c r="Z115" s="24">
        <v>22271</v>
      </c>
      <c r="AA115" s="24"/>
      <c r="AB115" s="24">
        <v>0</v>
      </c>
      <c r="AC115" s="24"/>
      <c r="AD115" s="24">
        <f t="shared" ref="AD115:AD119" si="25">+V115+X115+Z115+AB115</f>
        <v>1274814.99</v>
      </c>
    </row>
    <row r="116" spans="1:32">
      <c r="A116" s="8">
        <v>5</v>
      </c>
      <c r="B116" s="8"/>
      <c r="C116" s="8" t="s">
        <v>142</v>
      </c>
      <c r="D116" s="8"/>
      <c r="E116" s="39" t="s">
        <v>143</v>
      </c>
      <c r="F116" s="15"/>
      <c r="G116" s="24">
        <v>0</v>
      </c>
      <c r="I116" s="24">
        <v>0</v>
      </c>
      <c r="K116" s="24">
        <f t="shared" si="21"/>
        <v>0</v>
      </c>
      <c r="M116" s="24"/>
      <c r="N116" s="24"/>
      <c r="O116" s="24">
        <v>0</v>
      </c>
      <c r="P116" s="24"/>
      <c r="Q116" s="24">
        <v>0</v>
      </c>
      <c r="R116" s="24"/>
      <c r="S116" s="24">
        <f t="shared" si="22"/>
        <v>0</v>
      </c>
      <c r="T116" s="24"/>
      <c r="U116" s="24"/>
      <c r="V116" s="24">
        <f t="shared" si="23"/>
        <v>0</v>
      </c>
      <c r="W116" s="24"/>
      <c r="X116" s="24">
        <v>0</v>
      </c>
      <c r="Y116" s="24"/>
      <c r="Z116" s="24">
        <v>0</v>
      </c>
      <c r="AA116" s="24"/>
      <c r="AB116" s="24">
        <v>0</v>
      </c>
      <c r="AC116" s="24"/>
      <c r="AD116" s="24">
        <f t="shared" si="25"/>
        <v>0</v>
      </c>
    </row>
    <row r="117" spans="1:32">
      <c r="A117" s="8">
        <v>6</v>
      </c>
      <c r="B117" s="8"/>
      <c r="C117" s="8" t="s">
        <v>144</v>
      </c>
      <c r="D117" s="8"/>
      <c r="E117" s="39" t="s">
        <v>145</v>
      </c>
      <c r="F117" s="15"/>
      <c r="G117" s="50">
        <v>0</v>
      </c>
      <c r="H117" s="51"/>
      <c r="I117" s="50">
        <v>0</v>
      </c>
      <c r="J117" s="51"/>
      <c r="K117" s="50">
        <f t="shared" si="21"/>
        <v>0</v>
      </c>
      <c r="L117" s="51"/>
      <c r="M117" s="50"/>
      <c r="N117" s="50"/>
      <c r="O117" s="50">
        <v>0</v>
      </c>
      <c r="P117" s="50"/>
      <c r="Q117" s="50">
        <v>0</v>
      </c>
      <c r="R117" s="51"/>
      <c r="S117" s="50">
        <f t="shared" si="22"/>
        <v>0</v>
      </c>
      <c r="T117" s="50"/>
      <c r="U117" s="51"/>
      <c r="V117" s="50">
        <f t="shared" si="23"/>
        <v>0</v>
      </c>
      <c r="W117" s="50"/>
      <c r="X117" s="50">
        <v>0</v>
      </c>
      <c r="Y117" s="50"/>
      <c r="Z117" s="50">
        <v>0</v>
      </c>
      <c r="AA117" s="51"/>
      <c r="AB117" s="50">
        <v>0</v>
      </c>
      <c r="AC117" s="51"/>
      <c r="AD117" s="50">
        <f t="shared" si="25"/>
        <v>0</v>
      </c>
      <c r="AF117" s="24"/>
    </row>
    <row r="118" spans="1:32">
      <c r="A118" s="8">
        <v>7</v>
      </c>
      <c r="B118" s="8"/>
      <c r="C118" s="8" t="s">
        <v>146</v>
      </c>
      <c r="D118" s="8"/>
      <c r="E118" s="39" t="s">
        <v>147</v>
      </c>
      <c r="F118" s="15"/>
      <c r="G118" s="24">
        <v>0</v>
      </c>
      <c r="I118" s="24">
        <v>0</v>
      </c>
      <c r="K118" s="24">
        <f t="shared" si="21"/>
        <v>0</v>
      </c>
      <c r="M118" s="24"/>
      <c r="N118" s="24"/>
      <c r="O118" s="24">
        <v>0</v>
      </c>
      <c r="P118" s="24"/>
      <c r="Q118" s="24">
        <v>0</v>
      </c>
      <c r="R118" s="24"/>
      <c r="S118" s="24">
        <f t="shared" si="22"/>
        <v>0</v>
      </c>
      <c r="T118" s="24"/>
      <c r="U118" s="24"/>
      <c r="V118" s="24">
        <f t="shared" si="23"/>
        <v>0</v>
      </c>
      <c r="W118" s="24"/>
      <c r="X118" s="24">
        <v>0</v>
      </c>
      <c r="Y118" s="24"/>
      <c r="Z118" s="24">
        <v>0</v>
      </c>
      <c r="AA118" s="24"/>
      <c r="AB118" s="24">
        <v>0</v>
      </c>
      <c r="AC118" s="24"/>
      <c r="AD118" s="24">
        <f t="shared" si="25"/>
        <v>0</v>
      </c>
    </row>
    <row r="119" spans="1:32">
      <c r="A119" s="8">
        <v>8</v>
      </c>
      <c r="B119" s="8"/>
      <c r="C119" s="8" t="s">
        <v>148</v>
      </c>
      <c r="D119" s="8"/>
      <c r="E119" s="39" t="s">
        <v>90</v>
      </c>
      <c r="F119" s="15"/>
      <c r="G119" s="27">
        <v>4528250.08</v>
      </c>
      <c r="I119" s="27">
        <v>0</v>
      </c>
      <c r="K119" s="27">
        <f>SUM(G119:J119)</f>
        <v>4528250.08</v>
      </c>
      <c r="M119" s="24"/>
      <c r="N119" s="24"/>
      <c r="O119" s="27">
        <v>0</v>
      </c>
      <c r="P119" s="24"/>
      <c r="Q119" s="27">
        <v>0</v>
      </c>
      <c r="R119" s="24"/>
      <c r="S119" s="27">
        <f t="shared" si="22"/>
        <v>0</v>
      </c>
      <c r="T119" s="24"/>
      <c r="U119" s="24"/>
      <c r="V119" s="27">
        <f t="shared" si="23"/>
        <v>4528250.08</v>
      </c>
      <c r="W119" s="24"/>
      <c r="X119" s="27">
        <v>0</v>
      </c>
      <c r="Y119" s="24"/>
      <c r="Z119" s="27">
        <v>0</v>
      </c>
      <c r="AA119" s="24"/>
      <c r="AB119" s="27">
        <v>0</v>
      </c>
      <c r="AC119" s="24"/>
      <c r="AD119" s="27">
        <f t="shared" si="25"/>
        <v>4528250.08</v>
      </c>
    </row>
    <row r="120" spans="1:32">
      <c r="A120" s="8" t="s">
        <v>92</v>
      </c>
      <c r="B120" s="21"/>
      <c r="C120" s="21" t="s">
        <v>92</v>
      </c>
      <c r="D120" s="21"/>
      <c r="E120" s="52"/>
      <c r="G120" s="24"/>
      <c r="I120" s="24"/>
      <c r="K120" s="24"/>
      <c r="M120" s="24"/>
      <c r="N120" s="24"/>
      <c r="O120" s="24"/>
      <c r="P120" s="24"/>
      <c r="Q120" s="24"/>
      <c r="V120" s="24"/>
      <c r="W120" s="24"/>
      <c r="X120" s="24"/>
      <c r="Y120" s="24"/>
      <c r="Z120" s="24"/>
      <c r="AB120" s="24"/>
      <c r="AD120" s="24"/>
    </row>
    <row r="121" spans="1:32">
      <c r="A121" s="8">
        <v>9</v>
      </c>
      <c r="B121" s="8"/>
      <c r="C121" s="233" t="s">
        <v>91</v>
      </c>
      <c r="D121" s="233"/>
      <c r="E121" s="233"/>
      <c r="F121" s="15"/>
      <c r="G121" s="27">
        <f>SUM(G112:G120)</f>
        <v>16271515.100000001</v>
      </c>
      <c r="I121" s="27">
        <f>SUM(I112:I120)</f>
        <v>-4306</v>
      </c>
      <c r="K121" s="27">
        <f>SUM(K112:K120)</f>
        <v>16267209.100000001</v>
      </c>
      <c r="M121" s="24"/>
      <c r="N121" s="24"/>
      <c r="O121" s="27">
        <f>SUM(O112:O120)</f>
        <v>0</v>
      </c>
      <c r="P121" s="24"/>
      <c r="Q121" s="27">
        <f>SUM(Q112:Q120)</f>
        <v>42516</v>
      </c>
      <c r="S121" s="27">
        <f>SUM(S112:S120)</f>
        <v>42516</v>
      </c>
      <c r="T121" s="24"/>
      <c r="V121" s="27">
        <f>SUM(V112:V120)</f>
        <v>16309725.100000001</v>
      </c>
      <c r="W121" s="24"/>
      <c r="X121" s="27">
        <f>SUM(X112:X120)</f>
        <v>0</v>
      </c>
      <c r="Y121" s="24"/>
      <c r="Z121" s="27">
        <f>SUM(Z112:Z120)</f>
        <v>331766</v>
      </c>
      <c r="AB121" s="27">
        <f>SUM(AB112:AB120)</f>
        <v>0</v>
      </c>
      <c r="AD121" s="27">
        <f>SUM(AD112:AD120)</f>
        <v>16641491.100000001</v>
      </c>
    </row>
    <row r="122" spans="1:32">
      <c r="A122" s="8"/>
      <c r="E122" s="52"/>
      <c r="G122" s="24"/>
      <c r="I122" s="24"/>
      <c r="K122" s="24"/>
      <c r="M122" s="24"/>
      <c r="N122" s="24"/>
      <c r="O122" s="24"/>
      <c r="P122" s="24"/>
      <c r="Q122" s="24"/>
      <c r="V122" s="24"/>
      <c r="W122" s="24"/>
      <c r="X122" s="24"/>
      <c r="Y122" s="24"/>
      <c r="Z122" s="24"/>
      <c r="AB122" s="24"/>
      <c r="AD122" s="24"/>
    </row>
    <row r="123" spans="1:32">
      <c r="A123" s="8"/>
      <c r="C123" s="21" t="s">
        <v>93</v>
      </c>
      <c r="D123" s="21"/>
      <c r="E123" s="52"/>
      <c r="G123" s="24"/>
      <c r="I123" s="24"/>
      <c r="K123" s="24"/>
      <c r="M123" s="24"/>
      <c r="N123" s="24"/>
      <c r="O123" s="24"/>
      <c r="P123" s="24"/>
      <c r="Q123" s="24"/>
      <c r="V123" s="24"/>
      <c r="W123" s="24"/>
      <c r="X123" s="24"/>
      <c r="Y123" s="24"/>
      <c r="Z123" s="24"/>
      <c r="AB123" s="24"/>
      <c r="AD123" s="24"/>
    </row>
    <row r="124" spans="1:32">
      <c r="A124" s="8">
        <v>10</v>
      </c>
      <c r="B124" s="8"/>
      <c r="C124" s="8" t="s">
        <v>149</v>
      </c>
      <c r="D124" s="8"/>
      <c r="E124" s="39" t="s">
        <v>95</v>
      </c>
      <c r="F124" s="15"/>
      <c r="G124" s="24">
        <v>470609.99</v>
      </c>
      <c r="I124" s="24">
        <v>0</v>
      </c>
      <c r="K124" s="24">
        <f t="shared" ref="K124:K128" si="26">SUM(G124:J124)</f>
        <v>470609.99</v>
      </c>
      <c r="M124" s="24"/>
      <c r="N124" s="24"/>
      <c r="O124" s="24">
        <v>0</v>
      </c>
      <c r="P124" s="24"/>
      <c r="Q124" s="24">
        <v>1308</v>
      </c>
      <c r="R124" s="24"/>
      <c r="S124" s="24">
        <f t="shared" ref="S124:S128" si="27">+M124+Q124</f>
        <v>1308</v>
      </c>
      <c r="T124" s="24"/>
      <c r="U124" s="24"/>
      <c r="V124" s="24">
        <f t="shared" ref="V124:V128" si="28">+K124+S124</f>
        <v>471917.99</v>
      </c>
      <c r="W124" s="24"/>
      <c r="X124" s="24">
        <v>0</v>
      </c>
      <c r="Y124" s="24"/>
      <c r="Z124" s="24">
        <v>10210</v>
      </c>
      <c r="AA124" s="24"/>
      <c r="AB124" s="24">
        <v>0</v>
      </c>
      <c r="AC124" s="24"/>
      <c r="AD124" s="24">
        <f t="shared" ref="AD124:AD128" si="29">+V124+X124+Z124+AB124</f>
        <v>482127.99</v>
      </c>
    </row>
    <row r="125" spans="1:32">
      <c r="A125" s="8">
        <v>11</v>
      </c>
      <c r="B125" s="8"/>
      <c r="C125" s="8" t="s">
        <v>150</v>
      </c>
      <c r="D125" s="8"/>
      <c r="E125" s="39" t="s">
        <v>97</v>
      </c>
      <c r="F125" s="15"/>
      <c r="G125" s="24">
        <v>1703732.44</v>
      </c>
      <c r="I125" s="24">
        <v>0</v>
      </c>
      <c r="K125" s="24">
        <f t="shared" si="26"/>
        <v>1703732.44</v>
      </c>
      <c r="M125" s="24"/>
      <c r="N125" s="24"/>
      <c r="O125" s="24">
        <v>0</v>
      </c>
      <c r="P125" s="24"/>
      <c r="Q125" s="24">
        <v>6971</v>
      </c>
      <c r="R125" s="24"/>
      <c r="S125" s="24">
        <f t="shared" si="27"/>
        <v>6971</v>
      </c>
      <c r="T125" s="24"/>
      <c r="U125" s="24"/>
      <c r="V125" s="24">
        <f t="shared" si="28"/>
        <v>1710703.44</v>
      </c>
      <c r="W125" s="24"/>
      <c r="X125" s="24">
        <v>0</v>
      </c>
      <c r="Y125" s="24"/>
      <c r="Z125" s="24">
        <v>54400</v>
      </c>
      <c r="AA125" s="24"/>
      <c r="AB125" s="24">
        <v>0</v>
      </c>
      <c r="AC125" s="24"/>
      <c r="AD125" s="24">
        <f t="shared" si="29"/>
        <v>1765103.44</v>
      </c>
    </row>
    <row r="126" spans="1:32">
      <c r="A126" s="8">
        <v>12</v>
      </c>
      <c r="B126" s="8"/>
      <c r="C126" s="8" t="s">
        <v>151</v>
      </c>
      <c r="D126" s="8"/>
      <c r="E126" s="39" t="s">
        <v>152</v>
      </c>
      <c r="F126" s="15"/>
      <c r="G126" s="24">
        <v>3192924.82</v>
      </c>
      <c r="I126" s="24">
        <v>-4</v>
      </c>
      <c r="K126" s="24">
        <f t="shared" si="26"/>
        <v>3192920.82</v>
      </c>
      <c r="M126" s="24"/>
      <c r="N126" s="24"/>
      <c r="O126" s="24">
        <v>0</v>
      </c>
      <c r="P126" s="24"/>
      <c r="Q126" s="24">
        <v>13762</v>
      </c>
      <c r="R126" s="24"/>
      <c r="S126" s="24">
        <f t="shared" si="27"/>
        <v>13762</v>
      </c>
      <c r="T126" s="24"/>
      <c r="U126" s="24"/>
      <c r="V126" s="24">
        <f t="shared" si="28"/>
        <v>3206682.82</v>
      </c>
      <c r="W126" s="24"/>
      <c r="X126" s="24">
        <v>0</v>
      </c>
      <c r="Y126" s="24"/>
      <c r="Z126" s="24">
        <v>107391</v>
      </c>
      <c r="AA126" s="24"/>
      <c r="AB126" s="24">
        <v>0</v>
      </c>
      <c r="AC126" s="24"/>
      <c r="AD126" s="24">
        <f t="shared" si="29"/>
        <v>3314073.82</v>
      </c>
    </row>
    <row r="127" spans="1:32">
      <c r="A127" s="8">
        <v>13</v>
      </c>
      <c r="B127" s="8"/>
      <c r="C127" s="8" t="s">
        <v>153</v>
      </c>
      <c r="D127" s="8"/>
      <c r="E127" s="39" t="s">
        <v>154</v>
      </c>
      <c r="F127" s="15"/>
      <c r="G127" s="24">
        <v>4186984.25</v>
      </c>
      <c r="I127" s="24">
        <f>3047080</f>
        <v>3047080</v>
      </c>
      <c r="K127" s="24">
        <f t="shared" si="26"/>
        <v>7234064.25</v>
      </c>
      <c r="M127" s="24"/>
      <c r="N127" s="24"/>
      <c r="O127" s="24">
        <v>0</v>
      </c>
      <c r="P127" s="24"/>
      <c r="Q127" s="24">
        <f>1755160+7225</f>
        <v>1762385</v>
      </c>
      <c r="R127" s="24"/>
      <c r="S127" s="24">
        <f t="shared" si="27"/>
        <v>1762385</v>
      </c>
      <c r="T127" s="24"/>
      <c r="U127" s="24"/>
      <c r="V127" s="24">
        <f t="shared" si="28"/>
        <v>8996449.25</v>
      </c>
      <c r="W127" s="24"/>
      <c r="X127" s="24">
        <v>0</v>
      </c>
      <c r="Y127" s="24"/>
      <c r="Z127" s="24">
        <v>56380</v>
      </c>
      <c r="AA127" s="24"/>
      <c r="AB127" s="24">
        <v>0</v>
      </c>
      <c r="AC127" s="24"/>
      <c r="AD127" s="24">
        <f t="shared" si="29"/>
        <v>9052829.25</v>
      </c>
    </row>
    <row r="128" spans="1:32">
      <c r="A128" s="8">
        <v>14</v>
      </c>
      <c r="B128" s="8"/>
      <c r="C128" s="8" t="s">
        <v>155</v>
      </c>
      <c r="D128" s="8"/>
      <c r="E128" s="39" t="s">
        <v>156</v>
      </c>
      <c r="F128" s="15"/>
      <c r="G128" s="24">
        <v>759.6</v>
      </c>
      <c r="I128" s="24">
        <v>0</v>
      </c>
      <c r="K128" s="24">
        <f t="shared" si="26"/>
        <v>759.6</v>
      </c>
      <c r="M128" s="24"/>
      <c r="N128" s="24"/>
      <c r="O128" s="24">
        <v>0</v>
      </c>
      <c r="P128" s="24"/>
      <c r="Q128" s="24">
        <v>3</v>
      </c>
      <c r="R128" s="24"/>
      <c r="S128" s="24">
        <f t="shared" si="27"/>
        <v>3</v>
      </c>
      <c r="T128" s="24"/>
      <c r="U128" s="24"/>
      <c r="V128" s="24">
        <f t="shared" si="28"/>
        <v>762.6</v>
      </c>
      <c r="W128" s="24"/>
      <c r="X128" s="24">
        <v>0</v>
      </c>
      <c r="Y128" s="24"/>
      <c r="Z128" s="24">
        <v>27</v>
      </c>
      <c r="AA128" s="24"/>
      <c r="AB128" s="24">
        <v>0</v>
      </c>
      <c r="AC128" s="24"/>
      <c r="AD128" s="24">
        <f t="shared" si="29"/>
        <v>789.6</v>
      </c>
    </row>
    <row r="129" spans="1:30">
      <c r="A129" s="8"/>
      <c r="E129" s="52"/>
      <c r="G129" s="24"/>
      <c r="I129" s="24"/>
      <c r="K129" s="24"/>
      <c r="M129" s="24"/>
      <c r="N129" s="24"/>
      <c r="O129" s="24"/>
      <c r="P129" s="24"/>
      <c r="Q129" s="24"/>
      <c r="V129" s="24"/>
      <c r="W129" s="24"/>
      <c r="X129" s="24"/>
      <c r="Y129" s="24"/>
      <c r="Z129" s="24"/>
      <c r="AB129" s="24"/>
      <c r="AD129" s="24"/>
    </row>
    <row r="130" spans="1:30">
      <c r="A130" s="8">
        <v>15</v>
      </c>
      <c r="B130" s="8"/>
      <c r="C130" s="233" t="s">
        <v>104</v>
      </c>
      <c r="D130" s="233"/>
      <c r="E130" s="233"/>
      <c r="F130" s="15"/>
      <c r="G130" s="27">
        <f>SUM(G124:G129)</f>
        <v>9555011.0999999996</v>
      </c>
      <c r="I130" s="27">
        <f>SUM(I124:I129)</f>
        <v>3047076</v>
      </c>
      <c r="K130" s="27">
        <f>SUM(K124:K129)</f>
        <v>12602087.1</v>
      </c>
      <c r="M130" s="24"/>
      <c r="N130" s="24"/>
      <c r="O130" s="27">
        <f>SUM(O124:O129)</f>
        <v>0</v>
      </c>
      <c r="P130" s="24"/>
      <c r="Q130" s="27">
        <f>SUM(Q124:Q129)</f>
        <v>1784429</v>
      </c>
      <c r="S130" s="27">
        <f>SUM(S124:S129)</f>
        <v>1784429</v>
      </c>
      <c r="T130" s="24"/>
      <c r="V130" s="27">
        <f>SUM(V124:V129)</f>
        <v>14386516.1</v>
      </c>
      <c r="W130" s="24"/>
      <c r="X130" s="27">
        <f>SUM(X124:X129)</f>
        <v>0</v>
      </c>
      <c r="Y130" s="24"/>
      <c r="Z130" s="27">
        <f>SUM(Z124:Z129)</f>
        <v>228408</v>
      </c>
      <c r="AB130" s="27">
        <f>SUM(AB124:AB129)</f>
        <v>0</v>
      </c>
      <c r="AD130" s="27">
        <f>SUM(AD124:AD129)</f>
        <v>14614924.1</v>
      </c>
    </row>
    <row r="131" spans="1:30">
      <c r="A131" s="8"/>
      <c r="E131" s="52"/>
      <c r="F131" s="15"/>
      <c r="G131" s="24"/>
      <c r="I131" s="24"/>
      <c r="K131" s="24"/>
      <c r="M131" s="24"/>
      <c r="N131" s="24"/>
      <c r="O131" s="24"/>
      <c r="P131" s="24"/>
      <c r="Q131" s="24"/>
      <c r="S131" s="24"/>
      <c r="T131" s="24"/>
      <c r="V131" s="24"/>
      <c r="W131" s="24"/>
      <c r="X131" s="24"/>
      <c r="Y131" s="24"/>
      <c r="Z131" s="24"/>
      <c r="AB131" s="24"/>
      <c r="AD131" s="24"/>
    </row>
    <row r="132" spans="1:30">
      <c r="A132" s="8">
        <v>16</v>
      </c>
      <c r="B132" s="8"/>
      <c r="C132" s="233" t="s">
        <v>157</v>
      </c>
      <c r="D132" s="233"/>
      <c r="E132" s="233"/>
      <c r="F132" s="15"/>
      <c r="G132" s="27">
        <f>+G121+G130</f>
        <v>25826526.200000003</v>
      </c>
      <c r="I132" s="27">
        <f>+I121+I130</f>
        <v>3042770</v>
      </c>
      <c r="K132" s="27">
        <f>+K121+K130</f>
        <v>28869296.200000003</v>
      </c>
      <c r="M132" s="24"/>
      <c r="N132" s="24"/>
      <c r="O132" s="27">
        <f>+O121+O130</f>
        <v>0</v>
      </c>
      <c r="P132" s="24"/>
      <c r="Q132" s="27">
        <f>+Q121+Q130</f>
        <v>1826945</v>
      </c>
      <c r="S132" s="27">
        <f>+S121+S130</f>
        <v>1826945</v>
      </c>
      <c r="T132" s="24"/>
      <c r="V132" s="27">
        <f>+V121+V130</f>
        <v>30696241.200000003</v>
      </c>
      <c r="W132" s="24"/>
      <c r="X132" s="27">
        <f>+X121+X130</f>
        <v>0</v>
      </c>
      <c r="Y132" s="24"/>
      <c r="Z132" s="27">
        <f>+Z121+Z130</f>
        <v>560174</v>
      </c>
      <c r="AB132" s="27">
        <f>+AB121+AB130</f>
        <v>0</v>
      </c>
      <c r="AD132" s="27">
        <f>+AD121+AD130</f>
        <v>31256415.200000003</v>
      </c>
    </row>
    <row r="133" spans="1:30">
      <c r="A133" s="8"/>
      <c r="E133" s="52"/>
      <c r="G133" s="24"/>
      <c r="I133" s="24"/>
      <c r="K133" s="24"/>
      <c r="M133" s="24"/>
      <c r="N133" s="24"/>
      <c r="O133" s="24"/>
      <c r="P133" s="24"/>
      <c r="Q133" s="24"/>
      <c r="V133" s="24"/>
      <c r="W133" s="24"/>
      <c r="X133" s="24"/>
      <c r="Y133" s="24"/>
      <c r="Z133" s="24"/>
      <c r="AB133" s="24"/>
      <c r="AD133" s="24"/>
    </row>
    <row r="134" spans="1:30">
      <c r="A134" s="231" t="s">
        <v>0</v>
      </c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231"/>
      <c r="Z134" s="231"/>
      <c r="AA134" s="231"/>
      <c r="AB134" s="231"/>
      <c r="AC134" s="231"/>
      <c r="AD134" s="231"/>
    </row>
    <row r="135" spans="1:30">
      <c r="A135" s="231" t="s">
        <v>69</v>
      </c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1"/>
      <c r="T135" s="231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</row>
    <row r="136" spans="1:30">
      <c r="A136" s="234" t="str">
        <f>+A3</f>
        <v>For Twelve Months Ended December 31, 2025</v>
      </c>
      <c r="B136" s="234"/>
      <c r="C136" s="234"/>
      <c r="D136" s="234"/>
      <c r="E136" s="234"/>
      <c r="F136" s="234"/>
      <c r="G136" s="234"/>
      <c r="H136" s="234"/>
      <c r="I136" s="234"/>
      <c r="J136" s="234"/>
      <c r="K136" s="234"/>
      <c r="L136" s="234"/>
      <c r="M136" s="234"/>
      <c r="N136" s="234"/>
      <c r="O136" s="234"/>
      <c r="P136" s="234"/>
      <c r="Q136" s="234"/>
      <c r="R136" s="234"/>
      <c r="S136" s="234"/>
      <c r="T136" s="234"/>
      <c r="U136" s="234"/>
      <c r="V136" s="234"/>
      <c r="W136" s="234"/>
      <c r="X136" s="234"/>
      <c r="Y136" s="234"/>
      <c r="Z136" s="234"/>
      <c r="AA136" s="234"/>
      <c r="AB136" s="234"/>
      <c r="AC136" s="234"/>
      <c r="AD136" s="234"/>
    </row>
    <row r="137" spans="1:30">
      <c r="A137" s="46"/>
      <c r="B137" s="46"/>
      <c r="C137" s="46"/>
      <c r="D137" s="46"/>
      <c r="E137" s="46"/>
      <c r="F137" s="46"/>
      <c r="G137" s="46"/>
    </row>
    <row r="138" spans="1:30">
      <c r="A138" s="46"/>
      <c r="B138" s="46"/>
      <c r="C138" s="46"/>
      <c r="D138" s="46"/>
      <c r="E138" s="46"/>
      <c r="F138" s="46"/>
      <c r="G138" s="46"/>
    </row>
    <row r="139" spans="1:30">
      <c r="A139" s="2">
        <v>-1</v>
      </c>
      <c r="B139" s="47"/>
      <c r="C139" s="2">
        <v>-2</v>
      </c>
      <c r="D139" s="47"/>
      <c r="E139" s="2">
        <v>-3</v>
      </c>
      <c r="F139" s="4"/>
      <c r="G139" s="2">
        <v>-4</v>
      </c>
      <c r="I139" s="2">
        <v>-5</v>
      </c>
      <c r="J139" s="2"/>
      <c r="K139" s="2">
        <v>-6</v>
      </c>
      <c r="L139" s="3"/>
      <c r="M139" s="2">
        <v>-7</v>
      </c>
      <c r="N139" s="2"/>
      <c r="O139" s="2">
        <v>-8</v>
      </c>
      <c r="P139" s="2"/>
      <c r="Q139" s="2">
        <v>-8</v>
      </c>
      <c r="R139" s="2"/>
      <c r="S139" s="2">
        <v>-9</v>
      </c>
      <c r="T139" s="2"/>
      <c r="U139" s="2"/>
      <c r="V139" s="2">
        <v>-10</v>
      </c>
      <c r="W139" s="2"/>
      <c r="X139" s="2">
        <v>-12</v>
      </c>
      <c r="Y139" s="2"/>
      <c r="Z139" s="2">
        <v>-11</v>
      </c>
      <c r="AA139" s="2"/>
      <c r="AB139" s="2">
        <v>-14</v>
      </c>
      <c r="AD139" s="2">
        <v>-12</v>
      </c>
    </row>
    <row r="140" spans="1:30">
      <c r="A140" s="8"/>
      <c r="C140" s="8" t="s">
        <v>70</v>
      </c>
      <c r="D140" s="8"/>
      <c r="F140" s="8"/>
      <c r="G140" s="5"/>
      <c r="H140" s="3"/>
      <c r="I140" s="3"/>
      <c r="J140" s="3"/>
      <c r="L140" s="3"/>
      <c r="M140" s="232" t="s">
        <v>549</v>
      </c>
      <c r="N140" s="232"/>
      <c r="O140" s="232"/>
      <c r="P140" s="232"/>
      <c r="Q140" s="232"/>
      <c r="R140" s="6"/>
      <c r="S140" s="3"/>
      <c r="T140" s="3"/>
      <c r="U140" s="3"/>
      <c r="V140" s="7" t="str">
        <f>V8</f>
        <v>2025</v>
      </c>
      <c r="W140" s="3"/>
      <c r="X140" s="3"/>
      <c r="Y140" s="5"/>
      <c r="Z140" s="5"/>
      <c r="AA140" s="5"/>
      <c r="AC140" s="5"/>
    </row>
    <row r="141" spans="1:30">
      <c r="A141" s="8" t="s">
        <v>71</v>
      </c>
      <c r="B141" s="8"/>
      <c r="C141" s="8" t="s">
        <v>72</v>
      </c>
      <c r="D141" s="8"/>
      <c r="F141" s="8"/>
      <c r="G141" s="5">
        <f>G9</f>
        <v>2024</v>
      </c>
      <c r="H141" s="3"/>
      <c r="I141" s="5">
        <f>I9</f>
        <v>2024</v>
      </c>
      <c r="J141" s="3"/>
      <c r="K141" s="5">
        <f>K9</f>
        <v>2024</v>
      </c>
      <c r="L141" s="6"/>
      <c r="M141" s="5">
        <f>M9</f>
        <v>2024</v>
      </c>
      <c r="N141" s="6"/>
      <c r="O141" s="6" t="s">
        <v>6</v>
      </c>
      <c r="P141" s="6"/>
      <c r="Q141" s="6"/>
      <c r="R141" s="6"/>
      <c r="S141" s="6"/>
      <c r="T141" s="6" t="s">
        <v>7</v>
      </c>
      <c r="U141" s="6"/>
      <c r="V141" s="9" t="s">
        <v>8</v>
      </c>
      <c r="W141" s="6"/>
      <c r="X141" s="6"/>
      <c r="Y141" s="6"/>
      <c r="Z141" s="8"/>
      <c r="AA141" s="5"/>
      <c r="AB141" s="8" t="s">
        <v>9</v>
      </c>
      <c r="AC141" s="8"/>
      <c r="AD141" s="5" t="str">
        <f>AD9</f>
        <v>2025</v>
      </c>
    </row>
    <row r="142" spans="1:30">
      <c r="A142" s="10" t="s">
        <v>73</v>
      </c>
      <c r="B142" s="8"/>
      <c r="C142" s="10" t="s">
        <v>74</v>
      </c>
      <c r="D142" s="8"/>
      <c r="E142" s="10" t="s">
        <v>75</v>
      </c>
      <c r="F142" s="48"/>
      <c r="G142" s="11" t="s">
        <v>12</v>
      </c>
      <c r="H142" s="3"/>
      <c r="I142" s="12" t="s">
        <v>13</v>
      </c>
      <c r="J142" s="6"/>
      <c r="K142" s="13" t="s">
        <v>14</v>
      </c>
      <c r="L142" s="6"/>
      <c r="M142" s="13" t="s">
        <v>14</v>
      </c>
      <c r="N142" s="6"/>
      <c r="O142" s="13" t="s">
        <v>15</v>
      </c>
      <c r="P142" s="6"/>
      <c r="Q142" s="14" t="s">
        <v>16</v>
      </c>
      <c r="R142" s="9"/>
      <c r="S142" s="13" t="s">
        <v>17</v>
      </c>
      <c r="T142" s="13" t="s">
        <v>10</v>
      </c>
      <c r="U142" s="6"/>
      <c r="V142" s="14" t="s">
        <v>18</v>
      </c>
      <c r="W142" s="6"/>
      <c r="X142" s="13" t="s">
        <v>19</v>
      </c>
      <c r="Y142" s="6"/>
      <c r="Z142" s="10" t="s">
        <v>20</v>
      </c>
      <c r="AA142" s="8"/>
      <c r="AB142" s="10" t="s">
        <v>21</v>
      </c>
      <c r="AC142" s="8"/>
      <c r="AD142" s="10" t="s">
        <v>18</v>
      </c>
    </row>
    <row r="143" spans="1:30">
      <c r="A143" s="8"/>
      <c r="E143" s="52"/>
      <c r="G143" s="24"/>
      <c r="I143" s="24"/>
      <c r="K143" s="24"/>
      <c r="M143" s="24"/>
      <c r="N143" s="24"/>
      <c r="O143" s="24"/>
      <c r="P143" s="24"/>
      <c r="Q143" s="24"/>
      <c r="V143" s="24"/>
      <c r="W143" s="24"/>
      <c r="X143" s="24"/>
      <c r="Y143" s="24"/>
      <c r="Z143" s="24"/>
      <c r="AB143" s="24"/>
      <c r="AD143" s="24"/>
    </row>
    <row r="144" spans="1:30">
      <c r="A144" s="8"/>
      <c r="C144" s="21" t="s">
        <v>158</v>
      </c>
      <c r="E144" s="52"/>
      <c r="G144" s="24"/>
      <c r="I144" s="24"/>
      <c r="K144" s="24"/>
      <c r="M144" s="24"/>
      <c r="N144" s="24"/>
      <c r="O144" s="24"/>
      <c r="P144" s="24"/>
      <c r="Q144" s="24"/>
      <c r="V144" s="24"/>
      <c r="W144" s="24"/>
      <c r="X144" s="24"/>
      <c r="Y144" s="24"/>
      <c r="Z144" s="24"/>
      <c r="AB144" s="24"/>
      <c r="AD144" s="24"/>
    </row>
    <row r="145" spans="1:30">
      <c r="A145" s="8"/>
      <c r="C145" s="21" t="s">
        <v>78</v>
      </c>
      <c r="E145" s="52"/>
      <c r="G145" s="24"/>
      <c r="I145" s="24"/>
      <c r="K145" s="24"/>
      <c r="M145" s="24"/>
      <c r="N145" s="24"/>
      <c r="O145" s="24"/>
      <c r="P145" s="24"/>
      <c r="Q145" s="24"/>
      <c r="V145" s="24"/>
      <c r="W145" s="24"/>
      <c r="X145" s="24"/>
      <c r="Y145" s="24"/>
      <c r="Z145" s="24"/>
      <c r="AB145" s="24"/>
      <c r="AD145" s="24"/>
    </row>
    <row r="146" spans="1:30">
      <c r="A146" s="8">
        <v>1</v>
      </c>
      <c r="B146" s="8"/>
      <c r="C146" s="8" t="s">
        <v>159</v>
      </c>
      <c r="D146" s="8"/>
      <c r="E146" s="39" t="s">
        <v>160</v>
      </c>
      <c r="F146" s="15"/>
      <c r="G146" s="24">
        <v>552732.31000000006</v>
      </c>
      <c r="I146" s="24">
        <v>0</v>
      </c>
      <c r="K146" s="24">
        <f t="shared" ref="K146" si="30">SUM(G146:J146)</f>
        <v>552732.31000000006</v>
      </c>
      <c r="M146" s="24"/>
      <c r="N146" s="24"/>
      <c r="O146" s="24"/>
      <c r="P146" s="24"/>
      <c r="Q146" s="24">
        <v>0</v>
      </c>
      <c r="R146" s="24"/>
      <c r="S146" s="24">
        <f t="shared" ref="S146" si="31">+M146+Q146</f>
        <v>0</v>
      </c>
      <c r="T146" s="24"/>
      <c r="U146" s="24"/>
      <c r="V146" s="24">
        <f t="shared" ref="V146" si="32">+K146+S146</f>
        <v>552732.31000000006</v>
      </c>
      <c r="W146" s="24"/>
      <c r="X146" s="24"/>
      <c r="Y146" s="24"/>
      <c r="Z146" s="24">
        <v>0</v>
      </c>
      <c r="AA146" s="24"/>
      <c r="AB146" s="24"/>
      <c r="AC146" s="24"/>
      <c r="AD146" s="24">
        <f t="shared" ref="AD146" si="33">+V146+X146+Z146+AB146</f>
        <v>552732.31000000006</v>
      </c>
    </row>
    <row r="147" spans="1:30">
      <c r="A147" s="8"/>
      <c r="E147" s="52"/>
      <c r="G147" s="24"/>
      <c r="I147" s="24"/>
      <c r="K147" s="24"/>
      <c r="M147" s="24"/>
      <c r="N147" s="24"/>
      <c r="O147" s="24"/>
      <c r="P147" s="24"/>
      <c r="Q147" s="24"/>
      <c r="V147" s="24"/>
      <c r="W147" s="24"/>
      <c r="X147" s="24"/>
      <c r="Y147" s="24"/>
      <c r="Z147" s="24"/>
      <c r="AB147" s="24"/>
      <c r="AD147" s="24"/>
    </row>
    <row r="148" spans="1:30">
      <c r="A148" s="8">
        <v>2</v>
      </c>
      <c r="C148" s="233" t="s">
        <v>91</v>
      </c>
      <c r="D148" s="233"/>
      <c r="E148" s="233"/>
      <c r="G148" s="27">
        <f>SUM(G146)</f>
        <v>552732.31000000006</v>
      </c>
      <c r="I148" s="27">
        <f>SUM(I146)</f>
        <v>0</v>
      </c>
      <c r="K148" s="27">
        <f>SUM(K146)</f>
        <v>552732.31000000006</v>
      </c>
      <c r="M148" s="24"/>
      <c r="N148" s="24"/>
      <c r="O148" s="24"/>
      <c r="P148" s="24"/>
      <c r="Q148" s="27">
        <f>SUM(Q146)</f>
        <v>0</v>
      </c>
      <c r="S148" s="27">
        <f>SUM(S146)</f>
        <v>0</v>
      </c>
      <c r="V148" s="27">
        <f>SUM(V146)</f>
        <v>552732.31000000006</v>
      </c>
      <c r="W148" s="24"/>
      <c r="X148" s="24"/>
      <c r="Y148" s="24"/>
      <c r="Z148" s="27">
        <f>SUM(Z146)</f>
        <v>0</v>
      </c>
      <c r="AB148" s="24"/>
      <c r="AD148" s="27">
        <f>SUM(AD146)</f>
        <v>552732.31000000006</v>
      </c>
    </row>
    <row r="149" spans="1:30">
      <c r="A149" s="8"/>
      <c r="E149" s="52"/>
      <c r="G149" s="24"/>
      <c r="I149" s="24"/>
      <c r="K149" s="24"/>
      <c r="M149" s="24"/>
      <c r="N149" s="24"/>
      <c r="O149" s="24"/>
      <c r="P149" s="24"/>
      <c r="Q149" s="24"/>
      <c r="V149" s="24"/>
      <c r="W149" s="24"/>
      <c r="X149" s="24"/>
      <c r="Y149" s="24"/>
      <c r="Z149" s="24"/>
      <c r="AB149" s="24"/>
      <c r="AD149" s="24"/>
    </row>
    <row r="150" spans="1:30">
      <c r="A150" s="8">
        <v>3</v>
      </c>
      <c r="C150" s="233" t="s">
        <v>161</v>
      </c>
      <c r="D150" s="233"/>
      <c r="E150" s="233"/>
      <c r="G150" s="27">
        <f>+G148</f>
        <v>552732.31000000006</v>
      </c>
      <c r="I150" s="27">
        <f>+I148</f>
        <v>0</v>
      </c>
      <c r="K150" s="27">
        <f>+K148</f>
        <v>552732.31000000006</v>
      </c>
      <c r="M150" s="24"/>
      <c r="N150" s="24"/>
      <c r="O150" s="27">
        <f>+O148+O125</f>
        <v>0</v>
      </c>
      <c r="P150" s="24"/>
      <c r="Q150" s="27">
        <f>+Q148</f>
        <v>0</v>
      </c>
      <c r="S150" s="27">
        <f>+S148</f>
        <v>0</v>
      </c>
      <c r="T150" s="24"/>
      <c r="V150" s="27">
        <f>+V148</f>
        <v>552732.31000000006</v>
      </c>
      <c r="W150" s="24"/>
      <c r="X150" s="27">
        <f>+X148+X125</f>
        <v>0</v>
      </c>
      <c r="Y150" s="24"/>
      <c r="Z150" s="27">
        <f>+Z148</f>
        <v>0</v>
      </c>
      <c r="AB150" s="27">
        <f>+AB148+AB125</f>
        <v>0</v>
      </c>
      <c r="AD150" s="27">
        <f>+AD148</f>
        <v>552732.31000000006</v>
      </c>
    </row>
    <row r="151" spans="1:30">
      <c r="A151" s="8"/>
      <c r="E151" s="52"/>
      <c r="G151" s="24"/>
      <c r="I151" s="24"/>
      <c r="K151" s="24"/>
      <c r="M151" s="24"/>
      <c r="N151" s="24"/>
      <c r="O151" s="24"/>
      <c r="P151" s="24"/>
      <c r="Q151" s="24"/>
      <c r="V151" s="24"/>
      <c r="W151" s="24"/>
      <c r="X151" s="24"/>
      <c r="Y151" s="24"/>
      <c r="Z151" s="24"/>
      <c r="AB151" s="24"/>
      <c r="AD151" s="24"/>
    </row>
    <row r="152" spans="1:30">
      <c r="A152" s="8"/>
      <c r="C152" s="21" t="s">
        <v>162</v>
      </c>
      <c r="E152" s="52"/>
      <c r="G152" s="24"/>
      <c r="I152" s="24"/>
      <c r="K152" s="24"/>
      <c r="M152" s="24"/>
      <c r="N152" s="24"/>
      <c r="O152" s="24"/>
      <c r="P152" s="24"/>
      <c r="Q152" s="24"/>
      <c r="V152" s="24"/>
      <c r="W152" s="24"/>
      <c r="X152" s="24"/>
      <c r="Y152" s="24"/>
      <c r="Z152" s="24"/>
      <c r="AB152" s="24"/>
      <c r="AD152" s="24"/>
    </row>
    <row r="153" spans="1:30">
      <c r="A153" s="8"/>
      <c r="C153" s="21" t="s">
        <v>78</v>
      </c>
      <c r="E153" s="52"/>
      <c r="G153" s="24"/>
      <c r="I153" s="24"/>
      <c r="K153" s="24"/>
      <c r="M153" s="24"/>
      <c r="N153" s="24"/>
      <c r="O153" s="24"/>
      <c r="P153" s="24"/>
      <c r="Q153" s="24"/>
      <c r="V153" s="24"/>
      <c r="W153" s="24"/>
      <c r="X153" s="24"/>
      <c r="Y153" s="24"/>
      <c r="Z153" s="24"/>
      <c r="AB153" s="24"/>
      <c r="AD153" s="24"/>
    </row>
    <row r="154" spans="1:30">
      <c r="A154" s="8">
        <v>4</v>
      </c>
      <c r="C154" s="8">
        <v>577</v>
      </c>
      <c r="E154" s="52"/>
      <c r="G154" s="24">
        <v>0</v>
      </c>
      <c r="I154" s="24">
        <v>0</v>
      </c>
      <c r="K154" s="24">
        <f t="shared" ref="K154" si="34">SUM(G154:J154)</f>
        <v>0</v>
      </c>
      <c r="M154" s="24"/>
      <c r="N154" s="24"/>
      <c r="O154" s="24"/>
      <c r="P154" s="24"/>
      <c r="Q154" s="24">
        <v>0</v>
      </c>
      <c r="R154" s="24"/>
      <c r="S154" s="24">
        <f t="shared" ref="S154" si="35">+M154+Q154</f>
        <v>0</v>
      </c>
      <c r="T154" s="24"/>
      <c r="U154" s="24"/>
      <c r="V154" s="24">
        <f t="shared" ref="V154" si="36">+K154+S154</f>
        <v>0</v>
      </c>
      <c r="W154" s="24"/>
      <c r="X154" s="24"/>
      <c r="Y154" s="24"/>
      <c r="Z154" s="24">
        <v>0</v>
      </c>
      <c r="AA154" s="24"/>
      <c r="AB154" s="24"/>
      <c r="AC154" s="24"/>
      <c r="AD154" s="24">
        <f t="shared" ref="AD154" si="37">+V154+X154+Z154+AB154</f>
        <v>0</v>
      </c>
    </row>
    <row r="155" spans="1:30">
      <c r="A155" s="8"/>
      <c r="E155" s="52"/>
      <c r="G155" s="24"/>
      <c r="I155" s="24"/>
      <c r="K155" s="24"/>
      <c r="M155" s="24"/>
      <c r="N155" s="24"/>
      <c r="O155" s="24"/>
      <c r="P155" s="24"/>
      <c r="Q155" s="24"/>
      <c r="V155" s="24"/>
      <c r="W155" s="24"/>
      <c r="X155" s="24"/>
      <c r="Y155" s="24"/>
      <c r="Z155" s="24"/>
      <c r="AB155" s="24"/>
      <c r="AD155" s="24"/>
    </row>
    <row r="156" spans="1:30">
      <c r="A156" s="8">
        <v>5</v>
      </c>
      <c r="C156" s="233" t="s">
        <v>91</v>
      </c>
      <c r="D156" s="233"/>
      <c r="E156" s="233"/>
      <c r="G156" s="27">
        <f>SUM(G154)</f>
        <v>0</v>
      </c>
      <c r="I156" s="27">
        <f>SUM(I154)</f>
        <v>0</v>
      </c>
      <c r="K156" s="27">
        <f>SUM(K154)</f>
        <v>0</v>
      </c>
      <c r="M156" s="24"/>
      <c r="N156" s="24"/>
      <c r="O156" s="24"/>
      <c r="P156" s="24"/>
      <c r="Q156" s="27">
        <f>SUM(Q154)</f>
        <v>0</v>
      </c>
      <c r="S156" s="27">
        <f>SUM(S154)</f>
        <v>0</v>
      </c>
      <c r="V156" s="27">
        <f>SUM(V154)</f>
        <v>0</v>
      </c>
      <c r="W156" s="24"/>
      <c r="X156" s="24"/>
      <c r="Y156" s="24"/>
      <c r="Z156" s="27">
        <f>SUM(Z154)</f>
        <v>0</v>
      </c>
      <c r="AB156" s="24"/>
      <c r="AD156" s="27">
        <f>SUM(AD154)</f>
        <v>0</v>
      </c>
    </row>
    <row r="157" spans="1:30">
      <c r="A157" s="8"/>
      <c r="C157" s="23"/>
      <c r="D157" s="23"/>
      <c r="E157" s="23"/>
      <c r="G157" s="24"/>
      <c r="I157" s="24"/>
      <c r="K157" s="24"/>
      <c r="M157" s="24"/>
      <c r="N157" s="24"/>
      <c r="O157" s="24"/>
      <c r="P157" s="24"/>
      <c r="Q157" s="24"/>
      <c r="V157" s="24"/>
      <c r="W157" s="24"/>
      <c r="X157" s="24"/>
      <c r="Y157" s="24"/>
      <c r="Z157" s="24"/>
      <c r="AB157" s="24"/>
      <c r="AD157" s="24"/>
    </row>
    <row r="158" spans="1:30">
      <c r="A158" s="8"/>
      <c r="C158" s="21" t="s">
        <v>93</v>
      </c>
      <c r="D158" s="23"/>
      <c r="E158" s="23"/>
      <c r="G158" s="24"/>
      <c r="I158" s="24"/>
      <c r="K158" s="24"/>
      <c r="M158" s="24"/>
      <c r="N158" s="24"/>
      <c r="O158" s="24"/>
      <c r="P158" s="24"/>
      <c r="Q158" s="24"/>
      <c r="V158" s="24"/>
      <c r="W158" s="24"/>
      <c r="X158" s="24"/>
      <c r="Y158" s="24"/>
      <c r="Z158" s="24"/>
      <c r="AB158" s="24"/>
      <c r="AD158" s="24"/>
    </row>
    <row r="159" spans="1:30">
      <c r="A159" s="8">
        <v>6</v>
      </c>
      <c r="C159" s="8">
        <v>578</v>
      </c>
      <c r="D159" s="23"/>
      <c r="E159" s="23"/>
      <c r="G159" s="24">
        <v>0</v>
      </c>
      <c r="I159" s="24">
        <v>0</v>
      </c>
      <c r="K159" s="24">
        <f t="shared" ref="K159" si="38">SUM(G159:J159)</f>
        <v>0</v>
      </c>
      <c r="M159" s="24"/>
      <c r="N159" s="24"/>
      <c r="O159" s="24"/>
      <c r="P159" s="24"/>
      <c r="Q159" s="24">
        <v>1870920</v>
      </c>
      <c r="R159" s="24"/>
      <c r="S159" s="24">
        <f t="shared" ref="S159" si="39">+M159+Q159</f>
        <v>1870920</v>
      </c>
      <c r="T159" s="24"/>
      <c r="U159" s="24"/>
      <c r="V159" s="24">
        <f t="shared" ref="V159" si="40">+K159+S159</f>
        <v>1870920</v>
      </c>
      <c r="W159" s="24"/>
      <c r="X159" s="24"/>
      <c r="Y159" s="24"/>
      <c r="Z159" s="24">
        <v>0</v>
      </c>
      <c r="AA159" s="24"/>
      <c r="AB159" s="24"/>
      <c r="AC159" s="24"/>
      <c r="AD159" s="24">
        <f t="shared" ref="AD159" si="41">+V159+X159+Z159+AB159</f>
        <v>1870920</v>
      </c>
    </row>
    <row r="160" spans="1:30">
      <c r="A160" s="8"/>
      <c r="C160" s="23"/>
      <c r="D160" s="23"/>
      <c r="E160" s="23"/>
      <c r="G160" s="24"/>
      <c r="I160" s="24"/>
      <c r="K160" s="24"/>
      <c r="M160" s="24"/>
      <c r="N160" s="24"/>
      <c r="O160" s="24"/>
      <c r="P160" s="24"/>
      <c r="Q160" s="24"/>
      <c r="V160" s="24"/>
      <c r="W160" s="24"/>
      <c r="X160" s="24"/>
      <c r="Y160" s="24"/>
      <c r="Z160" s="24"/>
      <c r="AB160" s="24"/>
      <c r="AD160" s="24"/>
    </row>
    <row r="161" spans="1:73">
      <c r="A161" s="8">
        <v>7</v>
      </c>
      <c r="C161" s="233" t="s">
        <v>104</v>
      </c>
      <c r="D161" s="233"/>
      <c r="E161" s="233"/>
      <c r="G161" s="27">
        <f>SUM(G159)</f>
        <v>0</v>
      </c>
      <c r="I161" s="27">
        <f>SUM(I159)</f>
        <v>0</v>
      </c>
      <c r="K161" s="27">
        <f>SUM(K159)</f>
        <v>0</v>
      </c>
      <c r="M161" s="24"/>
      <c r="N161" s="24"/>
      <c r="O161" s="24"/>
      <c r="P161" s="24"/>
      <c r="Q161" s="27">
        <f>SUM(Q159)</f>
        <v>1870920</v>
      </c>
      <c r="S161" s="27">
        <f>SUM(S159)</f>
        <v>1870920</v>
      </c>
      <c r="V161" s="27">
        <f>SUM(V159)</f>
        <v>1870920</v>
      </c>
      <c r="W161" s="24"/>
      <c r="X161" s="24"/>
      <c r="Y161" s="24"/>
      <c r="Z161" s="27">
        <f>SUM(Z159)</f>
        <v>0</v>
      </c>
      <c r="AB161" s="24"/>
      <c r="AD161" s="27">
        <f>SUM(AD159)</f>
        <v>1870920</v>
      </c>
    </row>
    <row r="162" spans="1:73">
      <c r="A162" s="8"/>
      <c r="C162" s="23"/>
      <c r="D162" s="23"/>
      <c r="E162" s="23"/>
      <c r="G162" s="24"/>
      <c r="I162" s="24"/>
      <c r="K162" s="24"/>
      <c r="M162" s="24"/>
      <c r="N162" s="24"/>
      <c r="O162" s="24"/>
      <c r="P162" s="24"/>
      <c r="Q162" s="24"/>
      <c r="V162" s="24"/>
      <c r="W162" s="24"/>
      <c r="X162" s="24"/>
      <c r="Y162" s="24"/>
      <c r="Z162" s="24"/>
      <c r="AB162" s="24"/>
      <c r="AD162" s="24"/>
    </row>
    <row r="163" spans="1:73">
      <c r="A163" s="8">
        <v>8</v>
      </c>
      <c r="C163" s="233" t="s">
        <v>163</v>
      </c>
      <c r="D163" s="233"/>
      <c r="E163" s="233"/>
      <c r="G163" s="27">
        <f>+G156+G161</f>
        <v>0</v>
      </c>
      <c r="I163" s="27">
        <f>+I156+I161</f>
        <v>0</v>
      </c>
      <c r="K163" s="27">
        <f>+K156+K161</f>
        <v>0</v>
      </c>
      <c r="M163" s="24"/>
      <c r="N163" s="24"/>
      <c r="O163" s="27">
        <f>+O152+O161</f>
        <v>0</v>
      </c>
      <c r="P163" s="24"/>
      <c r="Q163" s="27">
        <f>+Q156+Q161</f>
        <v>1870920</v>
      </c>
      <c r="S163" s="27">
        <f>+S156+S161</f>
        <v>1870920</v>
      </c>
      <c r="T163" s="24"/>
      <c r="V163" s="27">
        <f>+V156+V161</f>
        <v>1870920</v>
      </c>
      <c r="W163" s="24"/>
      <c r="X163" s="27">
        <f>+X152+X161</f>
        <v>0</v>
      </c>
      <c r="Y163" s="24"/>
      <c r="Z163" s="27">
        <f>+Z156+Z161</f>
        <v>0</v>
      </c>
      <c r="AB163" s="27">
        <f>+AB152+AB161</f>
        <v>0</v>
      </c>
      <c r="AD163" s="27">
        <f>+AD156+AD161</f>
        <v>1870920</v>
      </c>
    </row>
    <row r="164" spans="1:73">
      <c r="A164" s="8"/>
      <c r="E164" s="52"/>
      <c r="G164" s="24"/>
      <c r="I164" s="24"/>
      <c r="K164" s="24"/>
      <c r="M164" s="24"/>
      <c r="N164" s="24"/>
      <c r="O164" s="24"/>
      <c r="P164" s="24"/>
      <c r="Q164" s="24"/>
      <c r="V164" s="24"/>
      <c r="W164" s="24"/>
      <c r="X164" s="24"/>
      <c r="Y164" s="24"/>
      <c r="Z164" s="24"/>
      <c r="AB164" s="24"/>
      <c r="AD164" s="24"/>
    </row>
    <row r="165" spans="1:73">
      <c r="A165" s="231" t="s">
        <v>0</v>
      </c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  <c r="U165" s="231"/>
      <c r="V165" s="231"/>
      <c r="W165" s="231"/>
      <c r="X165" s="231"/>
      <c r="Y165" s="231"/>
      <c r="Z165" s="231"/>
      <c r="AA165" s="231"/>
      <c r="AB165" s="231"/>
      <c r="AC165" s="231"/>
      <c r="AD165" s="231"/>
    </row>
    <row r="166" spans="1:73">
      <c r="A166" s="231" t="s">
        <v>69</v>
      </c>
      <c r="B166" s="231"/>
      <c r="C166" s="231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  <c r="O166" s="231"/>
      <c r="P166" s="231"/>
      <c r="Q166" s="231"/>
      <c r="R166" s="231"/>
      <c r="S166" s="231"/>
      <c r="T166" s="231"/>
      <c r="U166" s="231"/>
      <c r="V166" s="231"/>
      <c r="W166" s="231"/>
      <c r="X166" s="231"/>
      <c r="Y166" s="231"/>
      <c r="Z166" s="231"/>
      <c r="AA166" s="231"/>
      <c r="AB166" s="231"/>
      <c r="AC166" s="231"/>
      <c r="AD166" s="231"/>
    </row>
    <row r="167" spans="1:73">
      <c r="A167" s="234" t="str">
        <f>A3</f>
        <v>For Twelve Months Ended December 31, 2025</v>
      </c>
      <c r="B167" s="234"/>
      <c r="C167" s="234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234"/>
      <c r="Q167" s="234"/>
      <c r="R167" s="234"/>
      <c r="S167" s="234"/>
      <c r="T167" s="234"/>
      <c r="U167" s="234"/>
      <c r="V167" s="234"/>
      <c r="W167" s="234"/>
      <c r="X167" s="234"/>
      <c r="Y167" s="234"/>
      <c r="Z167" s="234"/>
      <c r="AA167" s="234"/>
      <c r="AB167" s="234"/>
      <c r="AC167" s="234"/>
      <c r="AD167" s="234"/>
    </row>
    <row r="168" spans="1:73">
      <c r="A168" s="46"/>
      <c r="B168" s="46"/>
      <c r="C168" s="46"/>
      <c r="D168" s="46"/>
      <c r="E168" s="46"/>
      <c r="F168" s="46"/>
      <c r="G168" s="46"/>
    </row>
    <row r="169" spans="1:73">
      <c r="A169" s="8"/>
      <c r="B169" s="47"/>
      <c r="C169" s="47"/>
      <c r="D169" s="47"/>
      <c r="E169" s="47"/>
      <c r="F169" s="47"/>
    </row>
    <row r="170" spans="1:73">
      <c r="A170" s="2">
        <v>-1</v>
      </c>
      <c r="B170" s="47"/>
      <c r="C170" s="2">
        <v>-2</v>
      </c>
      <c r="D170" s="47"/>
      <c r="E170" s="2">
        <v>-3</v>
      </c>
      <c r="F170" s="4"/>
      <c r="G170" s="2">
        <v>-4</v>
      </c>
      <c r="I170" s="2">
        <v>-5</v>
      </c>
      <c r="J170" s="2"/>
      <c r="K170" s="2">
        <v>-6</v>
      </c>
      <c r="L170" s="3"/>
      <c r="M170" s="2">
        <v>-7</v>
      </c>
      <c r="N170" s="2"/>
      <c r="O170" s="2">
        <v>-8</v>
      </c>
      <c r="P170" s="2"/>
      <c r="Q170" s="2">
        <v>-8</v>
      </c>
      <c r="R170" s="2"/>
      <c r="S170" s="2">
        <v>-9</v>
      </c>
      <c r="T170" s="2"/>
      <c r="U170" s="2"/>
      <c r="V170" s="2">
        <v>-10</v>
      </c>
      <c r="W170" s="2"/>
      <c r="X170" s="2">
        <v>-12</v>
      </c>
      <c r="Y170" s="2"/>
      <c r="Z170" s="2">
        <v>-11</v>
      </c>
      <c r="AA170" s="2"/>
      <c r="AB170" s="2">
        <v>-14</v>
      </c>
      <c r="AD170" s="2">
        <v>-12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</row>
    <row r="171" spans="1:73">
      <c r="A171" s="8"/>
      <c r="C171" s="8" t="s">
        <v>70</v>
      </c>
      <c r="D171" s="8"/>
      <c r="F171" s="8"/>
      <c r="G171" s="5"/>
      <c r="H171" s="3"/>
      <c r="I171" s="3"/>
      <c r="J171" s="3"/>
      <c r="L171" s="3"/>
      <c r="M171" s="232" t="s">
        <v>549</v>
      </c>
      <c r="N171" s="232"/>
      <c r="O171" s="232"/>
      <c r="P171" s="232"/>
      <c r="Q171" s="232"/>
      <c r="R171" s="6"/>
      <c r="S171" s="3"/>
      <c r="T171" s="3"/>
      <c r="U171" s="3"/>
      <c r="V171" s="7" t="str">
        <f>V8</f>
        <v>2025</v>
      </c>
      <c r="W171" s="3"/>
      <c r="X171" s="3"/>
      <c r="Y171" s="5"/>
      <c r="Z171" s="5"/>
      <c r="AA171" s="5"/>
      <c r="AC171" s="5"/>
    </row>
    <row r="172" spans="1:73">
      <c r="A172" s="8" t="s">
        <v>71</v>
      </c>
      <c r="B172" s="8"/>
      <c r="C172" s="8" t="s">
        <v>72</v>
      </c>
      <c r="D172" s="8"/>
      <c r="F172" s="8"/>
      <c r="G172" s="5">
        <f>G9</f>
        <v>2024</v>
      </c>
      <c r="H172" s="3"/>
      <c r="I172" s="5">
        <f>I9</f>
        <v>2024</v>
      </c>
      <c r="J172" s="3"/>
      <c r="K172" s="5">
        <f>K9</f>
        <v>2024</v>
      </c>
      <c r="L172" s="6"/>
      <c r="M172" s="5">
        <f>M9</f>
        <v>2024</v>
      </c>
      <c r="N172" s="6"/>
      <c r="O172" s="6" t="s">
        <v>6</v>
      </c>
      <c r="P172" s="6"/>
      <c r="Q172" s="6"/>
      <c r="R172" s="6"/>
      <c r="S172" s="6"/>
      <c r="T172" s="6" t="s">
        <v>7</v>
      </c>
      <c r="U172" s="6"/>
      <c r="V172" s="9" t="s">
        <v>8</v>
      </c>
      <c r="W172" s="6"/>
      <c r="X172" s="6"/>
      <c r="Y172" s="6"/>
      <c r="Z172" s="8"/>
      <c r="AA172" s="5"/>
      <c r="AB172" s="8" t="s">
        <v>9</v>
      </c>
      <c r="AC172" s="8"/>
      <c r="AD172" s="5" t="str">
        <f>AD9</f>
        <v>2025</v>
      </c>
    </row>
    <row r="173" spans="1:73">
      <c r="A173" s="10" t="s">
        <v>73</v>
      </c>
      <c r="B173" s="8"/>
      <c r="C173" s="10" t="s">
        <v>74</v>
      </c>
      <c r="D173" s="8"/>
      <c r="E173" s="10" t="s">
        <v>75</v>
      </c>
      <c r="F173" s="48"/>
      <c r="G173" s="11" t="s">
        <v>12</v>
      </c>
      <c r="H173" s="3"/>
      <c r="I173" s="12" t="s">
        <v>13</v>
      </c>
      <c r="J173" s="6"/>
      <c r="K173" s="13" t="s">
        <v>14</v>
      </c>
      <c r="L173" s="6"/>
      <c r="M173" s="13" t="s">
        <v>14</v>
      </c>
      <c r="N173" s="6"/>
      <c r="O173" s="13" t="s">
        <v>15</v>
      </c>
      <c r="P173" s="6"/>
      <c r="Q173" s="14" t="s">
        <v>16</v>
      </c>
      <c r="R173" s="9"/>
      <c r="S173" s="13" t="s">
        <v>17</v>
      </c>
      <c r="T173" s="13" t="s">
        <v>10</v>
      </c>
      <c r="U173" s="6"/>
      <c r="V173" s="14" t="s">
        <v>18</v>
      </c>
      <c r="W173" s="6"/>
      <c r="X173" s="13" t="s">
        <v>19</v>
      </c>
      <c r="Y173" s="6"/>
      <c r="Z173" s="10" t="s">
        <v>20</v>
      </c>
      <c r="AA173" s="8"/>
      <c r="AB173" s="10" t="s">
        <v>21</v>
      </c>
      <c r="AC173" s="8"/>
      <c r="AD173" s="10" t="s">
        <v>18</v>
      </c>
    </row>
    <row r="174" spans="1:73">
      <c r="A174" s="8"/>
      <c r="C174" s="21" t="s">
        <v>164</v>
      </c>
      <c r="D174" s="21"/>
      <c r="E174" s="52"/>
      <c r="G174" s="24"/>
      <c r="I174" s="24"/>
      <c r="K174" s="24"/>
      <c r="M174" s="24"/>
      <c r="N174" s="24"/>
      <c r="O174" s="24"/>
      <c r="P174" s="24"/>
      <c r="Q174" s="24"/>
      <c r="V174" s="24"/>
      <c r="W174" s="24"/>
      <c r="X174" s="24"/>
      <c r="Y174" s="24"/>
      <c r="Z174" s="24"/>
      <c r="AB174" s="24"/>
      <c r="AD174" s="24"/>
    </row>
    <row r="175" spans="1:73">
      <c r="A175" s="8"/>
      <c r="C175" s="21" t="s">
        <v>78</v>
      </c>
      <c r="D175" s="21"/>
      <c r="E175" s="52"/>
      <c r="G175" s="24"/>
      <c r="I175" s="24"/>
      <c r="K175" s="24"/>
      <c r="M175" s="24"/>
      <c r="N175" s="24"/>
      <c r="O175" s="24"/>
      <c r="P175" s="24"/>
      <c r="Q175" s="24"/>
      <c r="V175" s="24"/>
      <c r="W175" s="24"/>
      <c r="X175" s="24"/>
      <c r="Y175" s="24"/>
      <c r="Z175" s="24"/>
      <c r="AB175" s="24"/>
      <c r="AD175" s="24"/>
    </row>
    <row r="176" spans="1:73">
      <c r="A176" s="8">
        <v>1</v>
      </c>
      <c r="B176" s="8"/>
      <c r="C176" s="8" t="s">
        <v>165</v>
      </c>
      <c r="D176" s="8"/>
      <c r="E176" s="39" t="s">
        <v>107</v>
      </c>
      <c r="F176" s="15"/>
      <c r="G176" s="24">
        <v>4981783.47</v>
      </c>
      <c r="I176" s="24">
        <f>-6112-46-207</f>
        <v>-6365</v>
      </c>
      <c r="K176" s="24">
        <f t="shared" ref="K176:K185" si="42">SUM(G176:J176)</f>
        <v>4975418.47</v>
      </c>
      <c r="M176" s="24"/>
      <c r="N176" s="24"/>
      <c r="O176" s="24">
        <v>0</v>
      </c>
      <c r="P176" s="24"/>
      <c r="Q176" s="24">
        <v>19103</v>
      </c>
      <c r="R176" s="24"/>
      <c r="S176" s="24">
        <f t="shared" ref="S176:S185" si="43">+M176+Q176</f>
        <v>19103</v>
      </c>
      <c r="T176" s="24"/>
      <c r="U176" s="24"/>
      <c r="V176" s="24">
        <f t="shared" ref="V176:V185" si="44">+K176+S176</f>
        <v>4994521.47</v>
      </c>
      <c r="W176" s="24"/>
      <c r="X176" s="24">
        <v>0</v>
      </c>
      <c r="Y176" s="24"/>
      <c r="Z176" s="24">
        <v>149066</v>
      </c>
      <c r="AA176" s="24"/>
      <c r="AB176" s="24">
        <v>0</v>
      </c>
      <c r="AC176" s="24"/>
      <c r="AD176" s="24">
        <f t="shared" ref="AD176:AD181" si="45">+V176+X176+Z176+AB176</f>
        <v>5143587.47</v>
      </c>
    </row>
    <row r="177" spans="1:30">
      <c r="A177" s="8">
        <v>2</v>
      </c>
      <c r="B177" s="8"/>
      <c r="C177" s="8" t="s">
        <v>166</v>
      </c>
      <c r="D177" s="8"/>
      <c r="E177" s="39" t="s">
        <v>137</v>
      </c>
      <c r="F177" s="15"/>
      <c r="G177" s="24">
        <v>5988645.2599999998</v>
      </c>
      <c r="I177" s="24">
        <v>0</v>
      </c>
      <c r="K177" s="24">
        <f t="shared" si="42"/>
        <v>5988645.2599999998</v>
      </c>
      <c r="M177" s="24"/>
      <c r="N177" s="24"/>
      <c r="O177" s="24">
        <v>0</v>
      </c>
      <c r="P177" s="24"/>
      <c r="Q177" s="24">
        <v>29657</v>
      </c>
      <c r="R177" s="24"/>
      <c r="S177" s="24">
        <f t="shared" si="43"/>
        <v>29657</v>
      </c>
      <c r="T177" s="24"/>
      <c r="U177" s="24"/>
      <c r="V177" s="24">
        <f t="shared" si="44"/>
        <v>6018302.2599999998</v>
      </c>
      <c r="W177" s="24"/>
      <c r="X177" s="24">
        <v>0</v>
      </c>
      <c r="Y177" s="24"/>
      <c r="Z177" s="24">
        <v>231424</v>
      </c>
      <c r="AA177" s="24"/>
      <c r="AB177" s="24">
        <v>0</v>
      </c>
      <c r="AC177" s="24"/>
      <c r="AD177" s="24">
        <f t="shared" si="45"/>
        <v>6249726.2599999998</v>
      </c>
    </row>
    <row r="178" spans="1:30">
      <c r="A178" s="8">
        <v>3</v>
      </c>
      <c r="B178" s="8"/>
      <c r="C178" s="8" t="s">
        <v>167</v>
      </c>
      <c r="D178" s="8"/>
      <c r="E178" s="39" t="s">
        <v>139</v>
      </c>
      <c r="F178" s="15"/>
      <c r="G178" s="24">
        <v>1953586.52</v>
      </c>
      <c r="I178" s="24">
        <v>-4</v>
      </c>
      <c r="K178" s="24">
        <f t="shared" si="42"/>
        <v>1953582.52</v>
      </c>
      <c r="M178" s="24"/>
      <c r="N178" s="24"/>
      <c r="O178" s="24">
        <v>0</v>
      </c>
      <c r="P178" s="24"/>
      <c r="Q178" s="24">
        <v>6025</v>
      </c>
      <c r="R178" s="24"/>
      <c r="S178" s="24">
        <f t="shared" si="43"/>
        <v>6025</v>
      </c>
      <c r="T178" s="24"/>
      <c r="U178" s="24"/>
      <c r="V178" s="24">
        <f t="shared" si="44"/>
        <v>1959607.52</v>
      </c>
      <c r="W178" s="24"/>
      <c r="X178" s="24">
        <v>0</v>
      </c>
      <c r="Y178" s="24"/>
      <c r="Z178" s="24">
        <v>47019</v>
      </c>
      <c r="AA178" s="24"/>
      <c r="AB178" s="24">
        <v>0</v>
      </c>
      <c r="AC178" s="24"/>
      <c r="AD178" s="24">
        <f t="shared" si="45"/>
        <v>2006626.52</v>
      </c>
    </row>
    <row r="179" spans="1:30">
      <c r="A179" s="8">
        <v>4</v>
      </c>
      <c r="B179" s="8"/>
      <c r="C179" s="8" t="s">
        <v>168</v>
      </c>
      <c r="D179" s="8"/>
      <c r="E179" s="39" t="s">
        <v>141</v>
      </c>
      <c r="F179" s="15"/>
      <c r="G179" s="24">
        <v>6679548.7800000003</v>
      </c>
      <c r="I179" s="24">
        <f>19896-628</f>
        <v>19268</v>
      </c>
      <c r="K179" s="24">
        <f t="shared" si="42"/>
        <v>6698816.7800000003</v>
      </c>
      <c r="M179" s="24"/>
      <c r="N179" s="24"/>
      <c r="O179" s="24">
        <v>0</v>
      </c>
      <c r="P179" s="24"/>
      <c r="Q179" s="24">
        <f>17079+24876</f>
        <v>41955</v>
      </c>
      <c r="R179" s="24"/>
      <c r="S179" s="24">
        <f t="shared" si="43"/>
        <v>41955</v>
      </c>
      <c r="T179" s="24"/>
      <c r="U179" s="24"/>
      <c r="V179" s="24">
        <f t="shared" si="44"/>
        <v>6740771.7800000003</v>
      </c>
      <c r="W179" s="24"/>
      <c r="X179" s="24">
        <v>0</v>
      </c>
      <c r="Y179" s="24"/>
      <c r="Z179" s="24">
        <v>194110</v>
      </c>
      <c r="AA179" s="24"/>
      <c r="AB179" s="24">
        <v>0</v>
      </c>
      <c r="AC179" s="24"/>
      <c r="AD179" s="24">
        <f t="shared" si="45"/>
        <v>6934881.7800000003</v>
      </c>
    </row>
    <row r="180" spans="1:30">
      <c r="A180" s="8">
        <v>5</v>
      </c>
      <c r="B180" s="8"/>
      <c r="C180" s="8" t="s">
        <v>169</v>
      </c>
      <c r="D180" s="8"/>
      <c r="E180" s="39" t="s">
        <v>143</v>
      </c>
      <c r="F180" s="15"/>
      <c r="G180" s="24">
        <v>6009462.3600000003</v>
      </c>
      <c r="I180" s="24">
        <f>-4307</f>
        <v>-4307</v>
      </c>
      <c r="K180" s="24">
        <f t="shared" si="42"/>
        <v>6005155.3600000003</v>
      </c>
      <c r="M180" s="24"/>
      <c r="N180" s="24"/>
      <c r="O180" s="24">
        <v>0</v>
      </c>
      <c r="P180" s="24"/>
      <c r="Q180" s="24">
        <v>8983</v>
      </c>
      <c r="R180" s="24"/>
      <c r="S180" s="24">
        <f t="shared" si="43"/>
        <v>8983</v>
      </c>
      <c r="T180" s="24"/>
      <c r="U180" s="24"/>
      <c r="V180" s="24">
        <f t="shared" si="44"/>
        <v>6014138.3600000003</v>
      </c>
      <c r="W180" s="24"/>
      <c r="X180" s="24">
        <v>0</v>
      </c>
      <c r="Y180" s="24"/>
      <c r="Z180" s="24">
        <v>70099</v>
      </c>
      <c r="AA180" s="24"/>
      <c r="AB180" s="24">
        <v>0</v>
      </c>
      <c r="AC180" s="24"/>
      <c r="AD180" s="24">
        <f t="shared" si="45"/>
        <v>6084237.3600000003</v>
      </c>
    </row>
    <row r="181" spans="1:30">
      <c r="A181" s="8">
        <v>6</v>
      </c>
      <c r="B181" s="8"/>
      <c r="C181" s="8" t="s">
        <v>170</v>
      </c>
      <c r="D181" s="8"/>
      <c r="E181" s="39" t="s">
        <v>171</v>
      </c>
      <c r="F181" s="15"/>
      <c r="G181" s="24">
        <v>189.99</v>
      </c>
      <c r="I181" s="24">
        <v>0</v>
      </c>
      <c r="K181" s="24">
        <f t="shared" si="42"/>
        <v>189.99</v>
      </c>
      <c r="M181" s="24"/>
      <c r="N181" s="24"/>
      <c r="O181" s="24">
        <v>0</v>
      </c>
      <c r="P181" s="24"/>
      <c r="Q181" s="24">
        <v>1</v>
      </c>
      <c r="R181" s="24"/>
      <c r="S181" s="24">
        <f t="shared" si="43"/>
        <v>1</v>
      </c>
      <c r="T181" s="24"/>
      <c r="U181" s="24"/>
      <c r="V181" s="24">
        <f t="shared" si="44"/>
        <v>190.99</v>
      </c>
      <c r="W181" s="24"/>
      <c r="X181" s="24">
        <v>0</v>
      </c>
      <c r="Y181" s="24"/>
      <c r="Z181" s="24">
        <v>6</v>
      </c>
      <c r="AA181" s="24"/>
      <c r="AB181" s="24">
        <v>0</v>
      </c>
      <c r="AC181" s="24"/>
      <c r="AD181" s="24">
        <f t="shared" si="45"/>
        <v>196.99</v>
      </c>
    </row>
    <row r="182" spans="1:30">
      <c r="A182" s="8">
        <v>7</v>
      </c>
      <c r="B182" s="8"/>
      <c r="C182" s="8" t="s">
        <v>172</v>
      </c>
      <c r="D182" s="8"/>
      <c r="E182" s="39" t="s">
        <v>173</v>
      </c>
      <c r="F182" s="15"/>
      <c r="G182" s="24">
        <v>6857271.8600000003</v>
      </c>
      <c r="I182" s="24">
        <v>0</v>
      </c>
      <c r="K182" s="24">
        <f t="shared" si="42"/>
        <v>6857271.8600000003</v>
      </c>
      <c r="M182" s="24"/>
      <c r="N182" s="24"/>
      <c r="O182" s="24">
        <v>0</v>
      </c>
      <c r="P182" s="24"/>
      <c r="Q182" s="24">
        <v>28496</v>
      </c>
      <c r="R182" s="24"/>
      <c r="S182" s="24">
        <f t="shared" si="43"/>
        <v>28496</v>
      </c>
      <c r="T182" s="24"/>
      <c r="U182" s="24"/>
      <c r="V182" s="24">
        <f t="shared" si="44"/>
        <v>6885767.8600000003</v>
      </c>
      <c r="W182" s="24"/>
      <c r="X182" s="24">
        <v>0</v>
      </c>
      <c r="Y182" s="24"/>
      <c r="Z182" s="24">
        <v>222360</v>
      </c>
      <c r="AA182" s="24"/>
      <c r="AB182" s="24">
        <v>0</v>
      </c>
      <c r="AC182" s="24"/>
      <c r="AD182" s="24">
        <f t="shared" ref="AD182:AD185" si="46">+V182+X182+Z182+AB182</f>
        <v>7108127.8600000003</v>
      </c>
    </row>
    <row r="183" spans="1:30">
      <c r="A183" s="8">
        <v>8</v>
      </c>
      <c r="B183" s="8"/>
      <c r="C183" s="8" t="s">
        <v>174</v>
      </c>
      <c r="D183" s="8"/>
      <c r="E183" s="39" t="s">
        <v>175</v>
      </c>
      <c r="F183" s="15"/>
      <c r="G183" s="24">
        <v>1261550.68</v>
      </c>
      <c r="I183" s="24">
        <v>0</v>
      </c>
      <c r="K183" s="24">
        <f t="shared" si="42"/>
        <v>1261550.68</v>
      </c>
      <c r="M183" s="24"/>
      <c r="N183" s="24"/>
      <c r="O183" s="24">
        <v>0</v>
      </c>
      <c r="P183" s="24"/>
      <c r="Q183" s="24">
        <v>5293</v>
      </c>
      <c r="R183" s="24"/>
      <c r="S183" s="24">
        <f t="shared" si="43"/>
        <v>5293</v>
      </c>
      <c r="T183" s="24"/>
      <c r="U183" s="24"/>
      <c r="V183" s="24">
        <f t="shared" si="44"/>
        <v>1266843.68</v>
      </c>
      <c r="W183" s="24"/>
      <c r="X183" s="24">
        <v>0</v>
      </c>
      <c r="Y183" s="24"/>
      <c r="Z183" s="24">
        <v>41306</v>
      </c>
      <c r="AA183" s="24"/>
      <c r="AB183" s="24">
        <v>0</v>
      </c>
      <c r="AC183" s="24"/>
      <c r="AD183" s="24">
        <f t="shared" si="46"/>
        <v>1308149.68</v>
      </c>
    </row>
    <row r="184" spans="1:30">
      <c r="A184" s="8">
        <v>9</v>
      </c>
      <c r="B184" s="8"/>
      <c r="C184" s="8" t="s">
        <v>176</v>
      </c>
      <c r="D184" s="8"/>
      <c r="E184" s="39" t="s">
        <v>177</v>
      </c>
      <c r="F184" s="15"/>
      <c r="G184" s="24">
        <v>4391126.0999999996</v>
      </c>
      <c r="I184" s="24">
        <f>-10416-106</f>
        <v>-10522</v>
      </c>
      <c r="K184" s="24">
        <f t="shared" si="42"/>
        <v>4380604.0999999996</v>
      </c>
      <c r="M184" s="24"/>
      <c r="N184" s="24"/>
      <c r="O184" s="24">
        <v>0</v>
      </c>
      <c r="P184" s="24"/>
      <c r="Q184" s="24">
        <v>15983</v>
      </c>
      <c r="R184" s="24"/>
      <c r="S184" s="24">
        <f t="shared" si="43"/>
        <v>15983</v>
      </c>
      <c r="T184" s="24"/>
      <c r="U184" s="24"/>
      <c r="V184" s="24">
        <f t="shared" si="44"/>
        <v>4396587.0999999996</v>
      </c>
      <c r="W184" s="24"/>
      <c r="X184" s="24">
        <v>0</v>
      </c>
      <c r="Y184" s="24"/>
      <c r="Z184" s="24">
        <v>124718</v>
      </c>
      <c r="AA184" s="24"/>
      <c r="AB184" s="24">
        <v>0</v>
      </c>
      <c r="AC184" s="24"/>
      <c r="AD184" s="24">
        <f t="shared" si="46"/>
        <v>4521305.0999999996</v>
      </c>
    </row>
    <row r="185" spans="1:30">
      <c r="A185" s="8">
        <v>10</v>
      </c>
      <c r="B185" s="8"/>
      <c r="C185" s="8" t="s">
        <v>178</v>
      </c>
      <c r="D185" s="8"/>
      <c r="E185" s="39" t="s">
        <v>90</v>
      </c>
      <c r="F185" s="15"/>
      <c r="G185" s="27">
        <v>403629.44</v>
      </c>
      <c r="I185" s="27">
        <v>0</v>
      </c>
      <c r="K185" s="27">
        <f t="shared" si="42"/>
        <v>403629.44</v>
      </c>
      <c r="M185" s="24"/>
      <c r="N185" s="24"/>
      <c r="O185" s="27">
        <v>0</v>
      </c>
      <c r="P185" s="24"/>
      <c r="Q185" s="27">
        <v>0</v>
      </c>
      <c r="R185" s="24"/>
      <c r="S185" s="27">
        <f t="shared" si="43"/>
        <v>0</v>
      </c>
      <c r="T185" s="24"/>
      <c r="U185" s="24"/>
      <c r="V185" s="27">
        <f t="shared" si="44"/>
        <v>403629.44</v>
      </c>
      <c r="W185" s="24"/>
      <c r="X185" s="27">
        <v>0</v>
      </c>
      <c r="Y185" s="24"/>
      <c r="Z185" s="27">
        <v>0</v>
      </c>
      <c r="AA185" s="24"/>
      <c r="AB185" s="27">
        <v>0</v>
      </c>
      <c r="AC185" s="24"/>
      <c r="AD185" s="27">
        <f t="shared" si="46"/>
        <v>403629.44</v>
      </c>
    </row>
    <row r="186" spans="1:30">
      <c r="A186" s="8"/>
      <c r="E186" s="52"/>
      <c r="G186" s="24"/>
      <c r="I186" s="24"/>
      <c r="K186" s="24"/>
      <c r="M186" s="24"/>
      <c r="N186" s="24"/>
      <c r="O186" s="24"/>
      <c r="P186" s="24"/>
      <c r="Q186" s="24"/>
      <c r="V186" s="24"/>
      <c r="W186" s="24"/>
      <c r="X186" s="24"/>
      <c r="Y186" s="24"/>
      <c r="Z186" s="24"/>
      <c r="AB186" s="24"/>
      <c r="AD186" s="24"/>
    </row>
    <row r="187" spans="1:30">
      <c r="A187" s="8">
        <v>11</v>
      </c>
      <c r="B187" s="8"/>
      <c r="C187" s="233" t="s">
        <v>91</v>
      </c>
      <c r="D187" s="233"/>
      <c r="E187" s="233"/>
      <c r="F187" s="15"/>
      <c r="G187" s="27">
        <f>SUM(G176:G186)</f>
        <v>38526794.460000001</v>
      </c>
      <c r="I187" s="27">
        <f>SUM(I176:I186)</f>
        <v>-1930</v>
      </c>
      <c r="K187" s="27">
        <f>SUM(K176:K186)</f>
        <v>38524864.460000001</v>
      </c>
      <c r="M187" s="24"/>
      <c r="N187" s="24"/>
      <c r="O187" s="27">
        <f>SUM(O176:O186)</f>
        <v>0</v>
      </c>
      <c r="P187" s="24"/>
      <c r="Q187" s="27">
        <f>SUM(Q176:Q186)</f>
        <v>155496</v>
      </c>
      <c r="S187" s="27">
        <f>SUM(S176:S186)</f>
        <v>155496</v>
      </c>
      <c r="T187" s="24"/>
      <c r="V187" s="27">
        <f>SUM(V176:V186)</f>
        <v>38680360.460000001</v>
      </c>
      <c r="W187" s="24"/>
      <c r="X187" s="27">
        <f>SUM(X176:X186)</f>
        <v>0</v>
      </c>
      <c r="Y187" s="24"/>
      <c r="Z187" s="27">
        <f>SUM(Z176:Z186)</f>
        <v>1080108</v>
      </c>
      <c r="AB187" s="27">
        <f>SUM(AB176:AB186)</f>
        <v>0</v>
      </c>
      <c r="AD187" s="27">
        <f>SUM(AD176:AD186)</f>
        <v>39760468.460000001</v>
      </c>
    </row>
    <row r="188" spans="1:30">
      <c r="A188" s="8"/>
      <c r="E188" s="52"/>
      <c r="G188" s="24"/>
      <c r="I188" s="24"/>
      <c r="K188" s="24"/>
      <c r="M188" s="24"/>
      <c r="N188" s="24"/>
      <c r="O188" s="24"/>
      <c r="P188" s="24"/>
      <c r="Q188" s="24"/>
      <c r="V188" s="24"/>
      <c r="W188" s="24"/>
      <c r="X188" s="24"/>
      <c r="Y188" s="24"/>
      <c r="Z188" s="24"/>
      <c r="AB188" s="24"/>
      <c r="AD188" s="24"/>
    </row>
    <row r="189" spans="1:30">
      <c r="A189" s="8"/>
      <c r="C189" s="21" t="s">
        <v>93</v>
      </c>
      <c r="D189" s="21"/>
      <c r="E189" s="52"/>
      <c r="G189" s="24"/>
      <c r="I189" s="24"/>
      <c r="K189" s="24"/>
      <c r="M189" s="24"/>
      <c r="N189" s="24"/>
      <c r="O189" s="24"/>
      <c r="P189" s="24"/>
      <c r="Q189" s="24"/>
      <c r="V189" s="24"/>
      <c r="W189" s="24"/>
      <c r="X189" s="24"/>
      <c r="Y189" s="24"/>
      <c r="Z189" s="24"/>
      <c r="AB189" s="24"/>
      <c r="AD189" s="24"/>
    </row>
    <row r="190" spans="1:30">
      <c r="A190" s="8">
        <v>12</v>
      </c>
      <c r="B190" s="8"/>
      <c r="C190" s="8" t="s">
        <v>179</v>
      </c>
      <c r="D190" s="8"/>
      <c r="E190" s="39" t="s">
        <v>95</v>
      </c>
      <c r="F190" s="15"/>
      <c r="G190" s="24">
        <v>9118.0499999999993</v>
      </c>
      <c r="I190" s="24">
        <v>0</v>
      </c>
      <c r="K190" s="24">
        <f t="shared" ref="K190:K198" si="47">SUM(G190:J190)</f>
        <v>9118.0499999999993</v>
      </c>
      <c r="M190" s="24"/>
      <c r="N190" s="24"/>
      <c r="O190" s="24">
        <v>0</v>
      </c>
      <c r="P190" s="24"/>
      <c r="Q190" s="24">
        <v>32</v>
      </c>
      <c r="R190" s="24"/>
      <c r="S190" s="24">
        <f t="shared" ref="S190:S198" si="48">+M190+Q190</f>
        <v>32</v>
      </c>
      <c r="T190" s="24"/>
      <c r="U190" s="24"/>
      <c r="V190" s="24">
        <f t="shared" ref="V190:V198" si="49">+K190+S190</f>
        <v>9150.0499999999993</v>
      </c>
      <c r="W190" s="24"/>
      <c r="X190" s="24">
        <v>0</v>
      </c>
      <c r="Y190" s="24"/>
      <c r="Z190" s="24">
        <v>253</v>
      </c>
      <c r="AA190" s="24"/>
      <c r="AB190" s="24">
        <v>0</v>
      </c>
      <c r="AC190" s="24"/>
      <c r="AD190" s="24">
        <f t="shared" ref="AD190:AD193" si="50">+V190+X190+Z190+AB190</f>
        <v>9403.0499999999993</v>
      </c>
    </row>
    <row r="191" spans="1:30">
      <c r="A191" s="8">
        <v>13</v>
      </c>
      <c r="B191" s="8"/>
      <c r="C191" s="8" t="s">
        <v>180</v>
      </c>
      <c r="D191" s="8"/>
      <c r="E191" s="39" t="s">
        <v>97</v>
      </c>
      <c r="F191" s="15"/>
      <c r="G191" s="24">
        <v>0</v>
      </c>
      <c r="I191" s="24">
        <v>0</v>
      </c>
      <c r="K191" s="24">
        <f t="shared" si="47"/>
        <v>0</v>
      </c>
      <c r="M191" s="24"/>
      <c r="N191" s="24"/>
      <c r="O191" s="24">
        <v>0</v>
      </c>
      <c r="P191" s="24"/>
      <c r="Q191" s="24">
        <v>0</v>
      </c>
      <c r="R191" s="24"/>
      <c r="S191" s="24">
        <f t="shared" si="48"/>
        <v>0</v>
      </c>
      <c r="T191" s="24"/>
      <c r="U191" s="24"/>
      <c r="V191" s="24">
        <f t="shared" si="49"/>
        <v>0</v>
      </c>
      <c r="W191" s="24"/>
      <c r="X191" s="24">
        <v>0</v>
      </c>
      <c r="Y191" s="24"/>
      <c r="Z191" s="24">
        <v>0</v>
      </c>
      <c r="AA191" s="24"/>
      <c r="AB191" s="24">
        <v>0</v>
      </c>
      <c r="AC191" s="24"/>
      <c r="AD191" s="24">
        <f t="shared" si="50"/>
        <v>0</v>
      </c>
    </row>
    <row r="192" spans="1:30">
      <c r="A192" s="8">
        <v>14</v>
      </c>
      <c r="B192" s="8"/>
      <c r="C192" s="8" t="s">
        <v>181</v>
      </c>
      <c r="D192" s="8"/>
      <c r="E192" s="39" t="s">
        <v>152</v>
      </c>
      <c r="F192" s="15"/>
      <c r="G192" s="24">
        <v>5336749.6500000004</v>
      </c>
      <c r="I192" s="24">
        <v>-4</v>
      </c>
      <c r="K192" s="24">
        <f t="shared" si="47"/>
        <v>5336745.6500000004</v>
      </c>
      <c r="M192" s="24"/>
      <c r="N192" s="24"/>
      <c r="O192" s="24">
        <v>0</v>
      </c>
      <c r="P192" s="24"/>
      <c r="Q192" s="24">
        <v>18358</v>
      </c>
      <c r="R192" s="24"/>
      <c r="S192" s="24">
        <f t="shared" si="48"/>
        <v>18358</v>
      </c>
      <c r="T192" s="24"/>
      <c r="U192" s="24"/>
      <c r="V192" s="24">
        <f t="shared" si="49"/>
        <v>5355103.6500000004</v>
      </c>
      <c r="W192" s="24"/>
      <c r="X192" s="24">
        <v>0</v>
      </c>
      <c r="Y192" s="24"/>
      <c r="Z192" s="24">
        <v>143249</v>
      </c>
      <c r="AA192" s="24"/>
      <c r="AB192" s="24">
        <v>0</v>
      </c>
      <c r="AC192" s="24"/>
      <c r="AD192" s="24">
        <f t="shared" si="50"/>
        <v>5498352.6500000004</v>
      </c>
    </row>
    <row r="193" spans="1:30">
      <c r="A193" s="8">
        <v>15</v>
      </c>
      <c r="B193" s="8"/>
      <c r="C193" s="8" t="s">
        <v>182</v>
      </c>
      <c r="D193" s="8"/>
      <c r="E193" s="39" t="s">
        <v>154</v>
      </c>
      <c r="F193" s="15"/>
      <c r="G193" s="24">
        <v>35534245.899999999</v>
      </c>
      <c r="I193" s="24">
        <f>7150702</f>
        <v>7150702</v>
      </c>
      <c r="K193" s="24">
        <f t="shared" si="47"/>
        <v>42684947.899999999</v>
      </c>
      <c r="M193" s="24"/>
      <c r="N193" s="24"/>
      <c r="O193" s="24">
        <v>0</v>
      </c>
      <c r="P193" s="24"/>
      <c r="Q193" s="24">
        <f>9770070+35754</f>
        <v>9805824</v>
      </c>
      <c r="R193" s="24"/>
      <c r="S193" s="24">
        <f t="shared" si="48"/>
        <v>9805824</v>
      </c>
      <c r="T193" s="24"/>
      <c r="U193" s="24"/>
      <c r="V193" s="24">
        <f t="shared" si="49"/>
        <v>52490771.899999999</v>
      </c>
      <c r="W193" s="24"/>
      <c r="X193" s="24">
        <v>0</v>
      </c>
      <c r="Y193" s="24"/>
      <c r="Z193" s="24">
        <v>278998</v>
      </c>
      <c r="AA193" s="24"/>
      <c r="AB193" s="24">
        <v>0</v>
      </c>
      <c r="AC193" s="24"/>
      <c r="AD193" s="24">
        <f t="shared" si="50"/>
        <v>52769769.899999999</v>
      </c>
    </row>
    <row r="194" spans="1:30">
      <c r="A194" s="8">
        <v>16</v>
      </c>
      <c r="B194" s="8"/>
      <c r="C194" s="8" t="s">
        <v>183</v>
      </c>
      <c r="D194" s="8"/>
      <c r="E194" s="39" t="s">
        <v>184</v>
      </c>
      <c r="F194" s="15"/>
      <c r="G194" s="24">
        <v>987659.42</v>
      </c>
      <c r="I194" s="24">
        <f>-7890</f>
        <v>-7890</v>
      </c>
      <c r="K194" s="24">
        <f t="shared" si="47"/>
        <v>979769.42</v>
      </c>
      <c r="M194" s="24"/>
      <c r="N194" s="24"/>
      <c r="O194" s="24">
        <v>0</v>
      </c>
      <c r="P194" s="24"/>
      <c r="Q194" s="24">
        <v>2480</v>
      </c>
      <c r="R194" s="24"/>
      <c r="S194" s="24">
        <f t="shared" si="48"/>
        <v>2480</v>
      </c>
      <c r="T194" s="24"/>
      <c r="U194" s="24"/>
      <c r="V194" s="24">
        <f t="shared" si="49"/>
        <v>982249.42</v>
      </c>
      <c r="W194" s="24"/>
      <c r="X194" s="24">
        <v>0</v>
      </c>
      <c r="Y194" s="24"/>
      <c r="Z194" s="24">
        <v>19355</v>
      </c>
      <c r="AA194" s="24"/>
      <c r="AB194" s="24">
        <v>0</v>
      </c>
      <c r="AC194" s="24"/>
      <c r="AD194" s="24">
        <f t="shared" ref="AD194:AD198" si="51">+V194+X194+Z194+AB194</f>
        <v>1001604.42</v>
      </c>
    </row>
    <row r="195" spans="1:30">
      <c r="A195" s="8">
        <v>17</v>
      </c>
      <c r="B195" s="8"/>
      <c r="C195" s="8" t="s">
        <v>185</v>
      </c>
      <c r="D195" s="8"/>
      <c r="E195" s="39" t="s">
        <v>186</v>
      </c>
      <c r="F195" s="15"/>
      <c r="G195" s="24">
        <v>59807.199999999997</v>
      </c>
      <c r="I195" s="24">
        <v>0</v>
      </c>
      <c r="K195" s="24">
        <f t="shared" si="47"/>
        <v>59807.199999999997</v>
      </c>
      <c r="M195" s="24"/>
      <c r="N195" s="24"/>
      <c r="O195" s="24">
        <v>0</v>
      </c>
      <c r="P195" s="24"/>
      <c r="Q195" s="24">
        <v>130</v>
      </c>
      <c r="R195" s="24"/>
      <c r="S195" s="24">
        <f t="shared" si="48"/>
        <v>130</v>
      </c>
      <c r="T195" s="24"/>
      <c r="U195" s="24"/>
      <c r="V195" s="24">
        <f t="shared" si="49"/>
        <v>59937.2</v>
      </c>
      <c r="W195" s="24"/>
      <c r="X195" s="24">
        <v>0</v>
      </c>
      <c r="Y195" s="24"/>
      <c r="Z195" s="24">
        <v>1016</v>
      </c>
      <c r="AA195" s="24"/>
      <c r="AB195" s="24">
        <v>0</v>
      </c>
      <c r="AC195" s="24"/>
      <c r="AD195" s="24">
        <f t="shared" si="51"/>
        <v>60953.2</v>
      </c>
    </row>
    <row r="196" spans="1:30">
      <c r="A196" s="8">
        <v>18</v>
      </c>
      <c r="B196" s="8"/>
      <c r="C196" s="8" t="s">
        <v>187</v>
      </c>
      <c r="D196" s="8"/>
      <c r="E196" s="39" t="s">
        <v>188</v>
      </c>
      <c r="F196" s="15"/>
      <c r="G196" s="24">
        <v>202840.95999999999</v>
      </c>
      <c r="I196" s="24">
        <v>0</v>
      </c>
      <c r="K196" s="24">
        <f t="shared" si="47"/>
        <v>202840.95999999999</v>
      </c>
      <c r="M196" s="24"/>
      <c r="N196" s="24"/>
      <c r="O196" s="24">
        <v>0</v>
      </c>
      <c r="P196" s="24"/>
      <c r="Q196" s="24">
        <f>1+482</f>
        <v>483</v>
      </c>
      <c r="R196" s="24"/>
      <c r="S196" s="24">
        <f t="shared" si="48"/>
        <v>483</v>
      </c>
      <c r="T196" s="24"/>
      <c r="U196" s="24"/>
      <c r="V196" s="24">
        <f t="shared" si="49"/>
        <v>203323.96</v>
      </c>
      <c r="W196" s="24"/>
      <c r="X196" s="24">
        <v>0</v>
      </c>
      <c r="Y196" s="24"/>
      <c r="Z196" s="24">
        <v>3763</v>
      </c>
      <c r="AA196" s="24"/>
      <c r="AB196" s="24">
        <v>0</v>
      </c>
      <c r="AC196" s="24"/>
      <c r="AD196" s="24">
        <f t="shared" si="51"/>
        <v>207086.96</v>
      </c>
    </row>
    <row r="197" spans="1:30">
      <c r="A197" s="8">
        <v>19</v>
      </c>
      <c r="B197" s="8"/>
      <c r="C197" s="8" t="s">
        <v>189</v>
      </c>
      <c r="D197" s="8"/>
      <c r="E197" s="39" t="s">
        <v>190</v>
      </c>
      <c r="F197" s="15"/>
      <c r="G197" s="24">
        <v>1017257.91</v>
      </c>
      <c r="I197" s="24">
        <v>0</v>
      </c>
      <c r="K197" s="24">
        <f t="shared" si="47"/>
        <v>1017257.91</v>
      </c>
      <c r="M197" s="24"/>
      <c r="N197" s="24"/>
      <c r="O197" s="24">
        <v>0</v>
      </c>
      <c r="P197" s="24"/>
      <c r="Q197" s="24">
        <v>4560</v>
      </c>
      <c r="R197" s="24"/>
      <c r="S197" s="24">
        <f t="shared" si="48"/>
        <v>4560</v>
      </c>
      <c r="T197" s="24"/>
      <c r="U197" s="24"/>
      <c r="V197" s="24">
        <f t="shared" si="49"/>
        <v>1021817.91</v>
      </c>
      <c r="W197" s="24"/>
      <c r="X197" s="24">
        <v>0</v>
      </c>
      <c r="Y197" s="24"/>
      <c r="Z197" s="24">
        <v>35582</v>
      </c>
      <c r="AA197" s="24"/>
      <c r="AB197" s="24">
        <v>0</v>
      </c>
      <c r="AC197" s="24"/>
      <c r="AD197" s="24">
        <f t="shared" si="51"/>
        <v>1057399.9100000001</v>
      </c>
    </row>
    <row r="198" spans="1:30">
      <c r="A198" s="8">
        <v>20</v>
      </c>
      <c r="B198" s="8"/>
      <c r="C198" s="8" t="s">
        <v>191</v>
      </c>
      <c r="D198" s="8"/>
      <c r="E198" s="39" t="s">
        <v>192</v>
      </c>
      <c r="F198" s="15"/>
      <c r="G198" s="27">
        <v>220008.68</v>
      </c>
      <c r="I198" s="27">
        <v>0</v>
      </c>
      <c r="K198" s="27">
        <f t="shared" si="47"/>
        <v>220008.68</v>
      </c>
      <c r="M198" s="24"/>
      <c r="N198" s="24"/>
      <c r="O198" s="27">
        <v>0</v>
      </c>
      <c r="P198" s="24"/>
      <c r="Q198" s="27">
        <v>704</v>
      </c>
      <c r="R198" s="24"/>
      <c r="S198" s="27">
        <f t="shared" si="48"/>
        <v>704</v>
      </c>
      <c r="T198" s="24"/>
      <c r="U198" s="24"/>
      <c r="V198" s="27">
        <f t="shared" si="49"/>
        <v>220712.68</v>
      </c>
      <c r="W198" s="24"/>
      <c r="X198" s="27">
        <v>0</v>
      </c>
      <c r="Y198" s="24"/>
      <c r="Z198" s="27">
        <v>5497</v>
      </c>
      <c r="AA198" s="24"/>
      <c r="AB198" s="27">
        <v>0</v>
      </c>
      <c r="AC198" s="24"/>
      <c r="AD198" s="27">
        <f t="shared" si="51"/>
        <v>226209.68</v>
      </c>
    </row>
    <row r="199" spans="1:30">
      <c r="A199" s="8"/>
      <c r="G199" s="24"/>
      <c r="I199" s="24"/>
      <c r="K199" s="24"/>
      <c r="M199" s="24"/>
      <c r="N199" s="24"/>
      <c r="O199" s="24"/>
      <c r="P199" s="24"/>
      <c r="Q199" s="24"/>
      <c r="V199" s="24"/>
      <c r="W199" s="24"/>
      <c r="X199" s="24"/>
      <c r="Y199" s="24"/>
      <c r="Z199" s="24"/>
      <c r="AB199" s="24"/>
      <c r="AD199" s="24"/>
    </row>
    <row r="200" spans="1:30">
      <c r="A200" s="8">
        <v>21</v>
      </c>
      <c r="B200" s="8"/>
      <c r="C200" s="233" t="s">
        <v>104</v>
      </c>
      <c r="D200" s="233"/>
      <c r="E200" s="233"/>
      <c r="F200" s="15"/>
      <c r="G200" s="27">
        <f>SUM(G190:G199)</f>
        <v>43367687.770000003</v>
      </c>
      <c r="I200" s="27">
        <f>SUM(I190:I199)</f>
        <v>7142808</v>
      </c>
      <c r="K200" s="27">
        <f>SUM(K190:K199)</f>
        <v>50510495.770000003</v>
      </c>
      <c r="M200" s="24"/>
      <c r="N200" s="24"/>
      <c r="O200" s="27">
        <f>SUM(O190:O199)</f>
        <v>0</v>
      </c>
      <c r="P200" s="24"/>
      <c r="Q200" s="27">
        <f>SUM(Q190:Q199)</f>
        <v>9832571</v>
      </c>
      <c r="S200" s="27">
        <f>SUM(S190:S199)</f>
        <v>9832571</v>
      </c>
      <c r="T200" s="24"/>
      <c r="V200" s="27">
        <f>SUM(V190:V199)</f>
        <v>60343066.770000003</v>
      </c>
      <c r="W200" s="24"/>
      <c r="X200" s="27">
        <f>SUM(X190:X199)</f>
        <v>0</v>
      </c>
      <c r="Y200" s="24"/>
      <c r="Z200" s="27">
        <f>SUM(Z190:Z199)</f>
        <v>487713</v>
      </c>
      <c r="AB200" s="27">
        <f>SUM(AB190:AB199)</f>
        <v>0</v>
      </c>
      <c r="AD200" s="27">
        <f>SUM(AD190:AD199)</f>
        <v>60830779.770000003</v>
      </c>
    </row>
    <row r="201" spans="1:30">
      <c r="A201" s="8"/>
      <c r="F201" s="15"/>
      <c r="G201" s="24"/>
      <c r="I201" s="24"/>
      <c r="K201" s="24"/>
      <c r="M201" s="24"/>
      <c r="N201" s="24"/>
      <c r="O201" s="24"/>
      <c r="P201" s="24"/>
      <c r="Q201" s="24"/>
      <c r="S201" s="24"/>
      <c r="T201" s="24"/>
      <c r="V201" s="24"/>
      <c r="W201" s="24"/>
      <c r="X201" s="24"/>
      <c r="Y201" s="24"/>
      <c r="Z201" s="24"/>
      <c r="AB201" s="24"/>
      <c r="AD201" s="24"/>
    </row>
    <row r="202" spans="1:30">
      <c r="A202" s="8">
        <v>22</v>
      </c>
      <c r="B202" s="8"/>
      <c r="C202" s="233" t="s">
        <v>193</v>
      </c>
      <c r="D202" s="233"/>
      <c r="E202" s="233"/>
      <c r="F202" s="15"/>
      <c r="G202" s="27">
        <f>+G200+G187</f>
        <v>81894482.230000004</v>
      </c>
      <c r="I202" s="27">
        <f>+I200+I187</f>
        <v>7140878</v>
      </c>
      <c r="K202" s="27">
        <f>+K200+K187</f>
        <v>89035360.230000004</v>
      </c>
      <c r="M202" s="24"/>
      <c r="N202" s="24"/>
      <c r="O202" s="27">
        <f>+O200+O187</f>
        <v>0</v>
      </c>
      <c r="P202" s="24"/>
      <c r="Q202" s="27">
        <f>+Q200+Q187</f>
        <v>9988067</v>
      </c>
      <c r="S202" s="27">
        <f>+S200+S187</f>
        <v>9988067</v>
      </c>
      <c r="T202" s="24"/>
      <c r="V202" s="27">
        <f>+V200+V187</f>
        <v>99023427.230000004</v>
      </c>
      <c r="W202" s="24"/>
      <c r="X202" s="27">
        <f>+X200+X187</f>
        <v>0</v>
      </c>
      <c r="Y202" s="24"/>
      <c r="Z202" s="27">
        <f>+Z200+Z187</f>
        <v>1567821</v>
      </c>
      <c r="AB202" s="27">
        <f>+AB200+AB187</f>
        <v>0</v>
      </c>
      <c r="AD202" s="27">
        <f>+AD200+AD187</f>
        <v>100591248.23</v>
      </c>
    </row>
    <row r="203" spans="1:30">
      <c r="A203" s="8"/>
    </row>
    <row r="204" spans="1:30">
      <c r="A204" s="231" t="s">
        <v>0</v>
      </c>
      <c r="B204" s="231"/>
      <c r="C204" s="231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  <c r="O204" s="231"/>
      <c r="P204" s="231"/>
      <c r="Q204" s="231"/>
      <c r="R204" s="231"/>
      <c r="S204" s="231"/>
      <c r="T204" s="231"/>
      <c r="U204" s="231"/>
      <c r="V204" s="231"/>
      <c r="W204" s="231"/>
      <c r="X204" s="231"/>
      <c r="Y204" s="231"/>
      <c r="Z204" s="231"/>
      <c r="AA204" s="231"/>
      <c r="AB204" s="231"/>
      <c r="AC204" s="231"/>
      <c r="AD204" s="231"/>
    </row>
    <row r="205" spans="1:30">
      <c r="A205" s="231" t="s">
        <v>69</v>
      </c>
      <c r="B205" s="231"/>
      <c r="C205" s="231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  <c r="O205" s="231"/>
      <c r="P205" s="231"/>
      <c r="Q205" s="231"/>
      <c r="R205" s="231"/>
      <c r="S205" s="231"/>
      <c r="T205" s="231"/>
      <c r="U205" s="231"/>
      <c r="V205" s="231"/>
      <c r="W205" s="231"/>
      <c r="X205" s="231"/>
      <c r="Y205" s="231"/>
      <c r="Z205" s="231"/>
      <c r="AA205" s="231"/>
      <c r="AB205" s="231"/>
      <c r="AC205" s="231"/>
      <c r="AD205" s="231"/>
    </row>
    <row r="206" spans="1:30">
      <c r="A206" s="234" t="str">
        <f>+A3</f>
        <v>For Twelve Months Ended December 31, 2025</v>
      </c>
      <c r="B206" s="234"/>
      <c r="C206" s="234"/>
      <c r="D206" s="234"/>
      <c r="E206" s="234"/>
      <c r="F206" s="234"/>
      <c r="G206" s="234"/>
      <c r="H206" s="234"/>
      <c r="I206" s="234"/>
      <c r="J206" s="234"/>
      <c r="K206" s="234"/>
      <c r="L206" s="234"/>
      <c r="M206" s="234"/>
      <c r="N206" s="234"/>
      <c r="O206" s="234"/>
      <c r="P206" s="234"/>
      <c r="Q206" s="234"/>
      <c r="R206" s="234"/>
      <c r="S206" s="234"/>
      <c r="T206" s="234"/>
      <c r="U206" s="234"/>
      <c r="V206" s="234"/>
      <c r="W206" s="234"/>
      <c r="X206" s="234"/>
      <c r="Y206" s="234"/>
      <c r="Z206" s="234"/>
      <c r="AA206" s="234"/>
      <c r="AB206" s="234"/>
      <c r="AC206" s="234"/>
      <c r="AD206" s="234"/>
    </row>
    <row r="207" spans="1:30">
      <c r="A207" s="46"/>
      <c r="B207" s="46"/>
      <c r="C207" s="46"/>
      <c r="D207" s="46"/>
      <c r="E207" s="46"/>
      <c r="F207" s="46"/>
      <c r="G207" s="46"/>
    </row>
    <row r="208" spans="1:30">
      <c r="A208" s="8"/>
      <c r="B208" s="47"/>
      <c r="C208" s="47"/>
      <c r="D208" s="47"/>
      <c r="E208" s="47"/>
      <c r="F208" s="47"/>
    </row>
    <row r="209" spans="1:73">
      <c r="A209" s="2">
        <v>-1</v>
      </c>
      <c r="B209" s="47"/>
      <c r="C209" s="2">
        <v>-2</v>
      </c>
      <c r="D209" s="47"/>
      <c r="E209" s="2">
        <v>-3</v>
      </c>
      <c r="F209" s="4"/>
      <c r="G209" s="2">
        <v>-4</v>
      </c>
      <c r="I209" s="2">
        <v>-5</v>
      </c>
      <c r="J209" s="2"/>
      <c r="K209" s="2">
        <v>-6</v>
      </c>
      <c r="L209" s="3"/>
      <c r="M209" s="2">
        <v>-7</v>
      </c>
      <c r="N209" s="2"/>
      <c r="O209" s="2">
        <v>-8</v>
      </c>
      <c r="P209" s="2"/>
      <c r="Q209" s="2">
        <v>-8</v>
      </c>
      <c r="R209" s="2"/>
      <c r="S209" s="2">
        <v>-9</v>
      </c>
      <c r="T209" s="2"/>
      <c r="U209" s="2"/>
      <c r="V209" s="2">
        <v>-10</v>
      </c>
      <c r="W209" s="2"/>
      <c r="X209" s="2">
        <v>-12</v>
      </c>
      <c r="Y209" s="2"/>
      <c r="Z209" s="2">
        <v>-11</v>
      </c>
      <c r="AA209" s="2"/>
      <c r="AB209" s="2">
        <v>-14</v>
      </c>
      <c r="AD209" s="2">
        <v>-12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</row>
    <row r="210" spans="1:73">
      <c r="A210" s="8"/>
      <c r="C210" s="8" t="s">
        <v>70</v>
      </c>
      <c r="D210" s="8"/>
      <c r="F210" s="8"/>
      <c r="G210" s="5"/>
      <c r="H210" s="3"/>
      <c r="I210" s="3"/>
      <c r="J210" s="3"/>
      <c r="L210" s="3"/>
      <c r="M210" s="232" t="s">
        <v>549</v>
      </c>
      <c r="N210" s="232"/>
      <c r="O210" s="232"/>
      <c r="P210" s="232"/>
      <c r="Q210" s="232"/>
      <c r="R210" s="6"/>
      <c r="S210" s="3"/>
      <c r="T210" s="3"/>
      <c r="U210" s="3"/>
      <c r="V210" s="7" t="str">
        <f>V8</f>
        <v>2025</v>
      </c>
      <c r="W210" s="3"/>
      <c r="X210" s="3"/>
      <c r="Y210" s="5"/>
      <c r="Z210" s="5"/>
      <c r="AA210" s="5"/>
      <c r="AC210" s="5"/>
    </row>
    <row r="211" spans="1:73">
      <c r="A211" s="8" t="s">
        <v>71</v>
      </c>
      <c r="B211" s="8"/>
      <c r="C211" s="8" t="s">
        <v>72</v>
      </c>
      <c r="D211" s="8"/>
      <c r="F211" s="8"/>
      <c r="G211" s="5">
        <f>G9</f>
        <v>2024</v>
      </c>
      <c r="H211" s="3"/>
      <c r="I211" s="5">
        <f>I9</f>
        <v>2024</v>
      </c>
      <c r="J211" s="3"/>
      <c r="K211" s="5">
        <f>K9</f>
        <v>2024</v>
      </c>
      <c r="L211" s="6"/>
      <c r="M211" s="5">
        <f>M9</f>
        <v>2024</v>
      </c>
      <c r="N211" s="6"/>
      <c r="O211" s="6" t="s">
        <v>6</v>
      </c>
      <c r="P211" s="6"/>
      <c r="Q211" s="6"/>
      <c r="R211" s="6"/>
      <c r="S211" s="6"/>
      <c r="T211" s="6" t="s">
        <v>7</v>
      </c>
      <c r="U211" s="6"/>
      <c r="V211" s="9" t="s">
        <v>8</v>
      </c>
      <c r="W211" s="6"/>
      <c r="X211" s="6"/>
      <c r="Y211" s="6"/>
      <c r="Z211" s="8"/>
      <c r="AA211" s="5"/>
      <c r="AB211" s="8" t="s">
        <v>9</v>
      </c>
      <c r="AC211" s="8"/>
      <c r="AD211" s="5" t="str">
        <f>AD9</f>
        <v>2025</v>
      </c>
    </row>
    <row r="212" spans="1:73">
      <c r="A212" s="10" t="s">
        <v>73</v>
      </c>
      <c r="B212" s="8"/>
      <c r="C212" s="10" t="s">
        <v>74</v>
      </c>
      <c r="D212" s="8"/>
      <c r="E212" s="10" t="s">
        <v>75</v>
      </c>
      <c r="F212" s="48"/>
      <c r="G212" s="11" t="s">
        <v>12</v>
      </c>
      <c r="H212" s="3"/>
      <c r="I212" s="12" t="s">
        <v>13</v>
      </c>
      <c r="J212" s="6"/>
      <c r="K212" s="13" t="s">
        <v>14</v>
      </c>
      <c r="L212" s="6"/>
      <c r="M212" s="13" t="s">
        <v>14</v>
      </c>
      <c r="N212" s="6"/>
      <c r="O212" s="13" t="s">
        <v>15</v>
      </c>
      <c r="P212" s="6"/>
      <c r="Q212" s="14" t="s">
        <v>16</v>
      </c>
      <c r="R212" s="9"/>
      <c r="S212" s="13" t="s">
        <v>17</v>
      </c>
      <c r="T212" s="13" t="s">
        <v>10</v>
      </c>
      <c r="U212" s="6"/>
      <c r="V212" s="14" t="s">
        <v>18</v>
      </c>
      <c r="W212" s="6"/>
      <c r="X212" s="13" t="s">
        <v>19</v>
      </c>
      <c r="Y212" s="6"/>
      <c r="Z212" s="10" t="s">
        <v>20</v>
      </c>
      <c r="AA212" s="8"/>
      <c r="AB212" s="10" t="s">
        <v>21</v>
      </c>
      <c r="AC212" s="8"/>
      <c r="AD212" s="10" t="s">
        <v>18</v>
      </c>
    </row>
    <row r="213" spans="1:73">
      <c r="A213" s="8"/>
      <c r="C213" s="21" t="s">
        <v>194</v>
      </c>
      <c r="D213" s="21"/>
    </row>
    <row r="214" spans="1:73">
      <c r="A214" s="8"/>
      <c r="C214" s="21" t="s">
        <v>78</v>
      </c>
      <c r="D214" s="21"/>
    </row>
    <row r="215" spans="1:73">
      <c r="A215" s="8">
        <v>1</v>
      </c>
      <c r="B215" s="8"/>
      <c r="C215" s="8">
        <v>901</v>
      </c>
      <c r="D215" s="8"/>
      <c r="E215" s="39" t="s">
        <v>195</v>
      </c>
      <c r="F215" s="49"/>
      <c r="G215" s="19">
        <v>917633.21</v>
      </c>
      <c r="I215" s="19">
        <f>-93-414</f>
        <v>-507</v>
      </c>
      <c r="K215" s="19">
        <f t="shared" ref="K215:K219" si="52">SUM(G215:J215)</f>
        <v>917126.21</v>
      </c>
      <c r="M215" s="19"/>
      <c r="N215" s="19"/>
      <c r="O215" s="19">
        <v>0</v>
      </c>
      <c r="Q215" s="19">
        <v>4454</v>
      </c>
      <c r="S215" s="19">
        <f>+M215+Q215</f>
        <v>4454</v>
      </c>
      <c r="T215" s="19"/>
      <c r="V215" s="19">
        <f>+K215+S215</f>
        <v>921580.21</v>
      </c>
      <c r="W215" s="19"/>
      <c r="X215" s="19">
        <v>0</v>
      </c>
      <c r="Y215" s="19"/>
      <c r="Z215" s="19">
        <v>34753</v>
      </c>
      <c r="AB215" s="19">
        <v>0</v>
      </c>
      <c r="AD215" s="19">
        <f>+V215+X215+Z215+AB215</f>
        <v>956333.21</v>
      </c>
    </row>
    <row r="216" spans="1:73">
      <c r="A216" s="8">
        <v>2</v>
      </c>
      <c r="B216" s="8"/>
      <c r="C216" s="8">
        <v>902</v>
      </c>
      <c r="D216" s="8"/>
      <c r="E216" s="39" t="s">
        <v>196</v>
      </c>
      <c r="F216" s="15"/>
      <c r="G216" s="24">
        <v>2086174.77</v>
      </c>
      <c r="I216" s="24">
        <v>0</v>
      </c>
      <c r="K216" s="24">
        <f t="shared" si="52"/>
        <v>2086174.77</v>
      </c>
      <c r="M216" s="24"/>
      <c r="N216" s="24"/>
      <c r="O216" s="24">
        <v>0</v>
      </c>
      <c r="P216" s="24"/>
      <c r="Q216" s="24">
        <v>7428</v>
      </c>
      <c r="R216" s="24"/>
      <c r="S216" s="24">
        <f>+M216+Q216</f>
        <v>7428</v>
      </c>
      <c r="T216" s="24"/>
      <c r="U216" s="24"/>
      <c r="V216" s="24">
        <f>+K216+S216</f>
        <v>2093602.77</v>
      </c>
      <c r="W216" s="24"/>
      <c r="X216" s="24">
        <v>0</v>
      </c>
      <c r="Y216" s="24"/>
      <c r="Z216" s="24">
        <v>57963</v>
      </c>
      <c r="AA216" s="24"/>
      <c r="AB216" s="24">
        <v>0</v>
      </c>
      <c r="AC216" s="24"/>
      <c r="AD216" s="24">
        <f t="shared" ref="AD216:AD219" si="53">+V216+X216+Z216+AB216</f>
        <v>2151565.77</v>
      </c>
    </row>
    <row r="217" spans="1:73">
      <c r="A217" s="8">
        <v>3</v>
      </c>
      <c r="B217" s="8"/>
      <c r="C217" s="8">
        <v>903</v>
      </c>
      <c r="D217" s="8"/>
      <c r="E217" s="39" t="s">
        <v>197</v>
      </c>
      <c r="F217" s="15"/>
      <c r="G217" s="24">
        <v>17311613.620000001</v>
      </c>
      <c r="I217" s="24">
        <v>-26</v>
      </c>
      <c r="K217" s="24">
        <f t="shared" si="52"/>
        <v>17311587.620000001</v>
      </c>
      <c r="M217" s="24"/>
      <c r="N217" s="24"/>
      <c r="O217" s="24">
        <v>0</v>
      </c>
      <c r="P217" s="24"/>
      <c r="Q217" s="24">
        <v>60166</v>
      </c>
      <c r="R217" s="24"/>
      <c r="S217" s="24">
        <f>+M217+Q217</f>
        <v>60166</v>
      </c>
      <c r="T217" s="24"/>
      <c r="U217" s="24"/>
      <c r="V217" s="24">
        <f>+K217+S217</f>
        <v>17371753.620000001</v>
      </c>
      <c r="W217" s="24"/>
      <c r="X217" s="24">
        <v>0</v>
      </c>
      <c r="Y217" s="24"/>
      <c r="Z217" s="24">
        <v>469494</v>
      </c>
      <c r="AA217" s="24"/>
      <c r="AB217" s="24">
        <v>0</v>
      </c>
      <c r="AC217" s="24"/>
      <c r="AD217" s="24">
        <f t="shared" si="53"/>
        <v>17841247.620000001</v>
      </c>
    </row>
    <row r="218" spans="1:73">
      <c r="A218" s="8">
        <v>4</v>
      </c>
      <c r="B218" s="8"/>
      <c r="C218" s="8">
        <v>904</v>
      </c>
      <c r="D218" s="8"/>
      <c r="E218" s="39" t="s">
        <v>198</v>
      </c>
      <c r="F218" s="15"/>
      <c r="G218" s="24">
        <v>4630705.49</v>
      </c>
      <c r="I218" s="24">
        <v>0</v>
      </c>
      <c r="K218" s="24">
        <f t="shared" si="52"/>
        <v>4630705.49</v>
      </c>
      <c r="M218" s="24"/>
      <c r="N218" s="24"/>
      <c r="O218" s="24">
        <v>0</v>
      </c>
      <c r="P218" s="24"/>
      <c r="Q218" s="24">
        <v>0</v>
      </c>
      <c r="R218" s="24"/>
      <c r="S218" s="24">
        <f>+M218+Q218</f>
        <v>0</v>
      </c>
      <c r="T218" s="24"/>
      <c r="U218" s="24"/>
      <c r="V218" s="24">
        <f>+K218+S218</f>
        <v>4630705.49</v>
      </c>
      <c r="W218" s="24"/>
      <c r="X218" s="24">
        <v>0</v>
      </c>
      <c r="Y218" s="24"/>
      <c r="Z218" s="24">
        <v>0</v>
      </c>
      <c r="AA218" s="24"/>
      <c r="AB218" s="24">
        <v>0</v>
      </c>
      <c r="AC218" s="24"/>
      <c r="AD218" s="24">
        <f t="shared" si="53"/>
        <v>4630705.49</v>
      </c>
    </row>
    <row r="219" spans="1:73">
      <c r="A219" s="8">
        <v>5</v>
      </c>
      <c r="B219" s="8"/>
      <c r="C219" s="8">
        <v>905</v>
      </c>
      <c r="D219" s="8"/>
      <c r="E219" s="39" t="s">
        <v>199</v>
      </c>
      <c r="F219" s="49"/>
      <c r="G219" s="27">
        <v>10.95</v>
      </c>
      <c r="I219" s="27">
        <v>0</v>
      </c>
      <c r="K219" s="27">
        <f t="shared" si="52"/>
        <v>10.95</v>
      </c>
      <c r="M219" s="24"/>
      <c r="N219" s="24"/>
      <c r="O219" s="27">
        <v>0</v>
      </c>
      <c r="P219" s="24"/>
      <c r="Q219" s="27">
        <v>0</v>
      </c>
      <c r="R219" s="24"/>
      <c r="S219" s="27">
        <f>+M219+Q219</f>
        <v>0</v>
      </c>
      <c r="T219" s="24"/>
      <c r="U219" s="24"/>
      <c r="V219" s="27">
        <f>+K219+S219</f>
        <v>10.95</v>
      </c>
      <c r="W219" s="24"/>
      <c r="X219" s="27">
        <v>0</v>
      </c>
      <c r="Y219" s="24"/>
      <c r="Z219" s="27">
        <v>0</v>
      </c>
      <c r="AA219" s="24"/>
      <c r="AB219" s="27">
        <v>0</v>
      </c>
      <c r="AC219" s="24"/>
      <c r="AD219" s="27">
        <f t="shared" si="53"/>
        <v>10.95</v>
      </c>
    </row>
    <row r="220" spans="1:73">
      <c r="A220" s="8"/>
      <c r="E220" s="52"/>
      <c r="G220" s="24"/>
      <c r="I220" s="24"/>
      <c r="K220" s="24"/>
      <c r="M220" s="24"/>
      <c r="N220" s="24"/>
      <c r="O220" s="24"/>
      <c r="P220" s="24"/>
      <c r="Q220" s="24"/>
      <c r="V220" s="24"/>
      <c r="W220" s="24"/>
      <c r="X220" s="24"/>
      <c r="Y220" s="24"/>
      <c r="Z220" s="24"/>
      <c r="AB220" s="24"/>
      <c r="AD220" s="24"/>
    </row>
    <row r="221" spans="1:73">
      <c r="A221" s="8">
        <v>6</v>
      </c>
      <c r="B221" s="8"/>
      <c r="C221" s="233" t="s">
        <v>200</v>
      </c>
      <c r="D221" s="233"/>
      <c r="E221" s="233"/>
      <c r="F221" s="15"/>
      <c r="G221" s="27">
        <f>SUM(G215:G220)</f>
        <v>24946138.040000003</v>
      </c>
      <c r="I221" s="27">
        <f>SUM(I215:I220)</f>
        <v>-533</v>
      </c>
      <c r="K221" s="27">
        <f>SUM(K215:K220)</f>
        <v>24945605.040000003</v>
      </c>
      <c r="M221" s="24"/>
      <c r="N221" s="24"/>
      <c r="O221" s="27">
        <f>SUM(O215:O220)</f>
        <v>0</v>
      </c>
      <c r="P221" s="24"/>
      <c r="Q221" s="27">
        <f>SUM(Q215:Q220)</f>
        <v>72048</v>
      </c>
      <c r="S221" s="27">
        <f>SUM(S215:S220)</f>
        <v>72048</v>
      </c>
      <c r="T221" s="24"/>
      <c r="V221" s="27">
        <f>SUM(V215:V220)</f>
        <v>25017653.040000003</v>
      </c>
      <c r="W221" s="24"/>
      <c r="X221" s="27">
        <f>SUM(X215:X220)</f>
        <v>0</v>
      </c>
      <c r="Y221" s="24"/>
      <c r="Z221" s="27">
        <f>SUM(Z215:Z220)</f>
        <v>562210</v>
      </c>
      <c r="AB221" s="27">
        <f>SUM(AB215:AB220)</f>
        <v>0</v>
      </c>
      <c r="AD221" s="27">
        <f>SUM(AD215:AD220)</f>
        <v>25579863.040000003</v>
      </c>
    </row>
    <row r="222" spans="1:73">
      <c r="A222" s="8"/>
      <c r="E222" s="52"/>
      <c r="G222" s="24"/>
      <c r="I222" s="24"/>
      <c r="K222" s="24"/>
      <c r="M222" s="24"/>
      <c r="N222" s="24"/>
      <c r="O222" s="24"/>
      <c r="P222" s="24"/>
      <c r="Q222" s="24"/>
      <c r="V222" s="24"/>
      <c r="W222" s="24"/>
      <c r="X222" s="24"/>
      <c r="Y222" s="24"/>
      <c r="Z222" s="24"/>
      <c r="AB222" s="24"/>
      <c r="AD222" s="24"/>
    </row>
    <row r="223" spans="1:73">
      <c r="A223" s="8"/>
      <c r="C223" s="21" t="s">
        <v>201</v>
      </c>
      <c r="D223" s="21"/>
      <c r="E223" s="52"/>
      <c r="G223" s="24"/>
      <c r="I223" s="24"/>
      <c r="K223" s="24"/>
      <c r="M223" s="24"/>
      <c r="N223" s="24"/>
      <c r="O223" s="24"/>
      <c r="P223" s="24"/>
      <c r="Q223" s="24"/>
      <c r="V223" s="24"/>
      <c r="W223" s="24"/>
      <c r="X223" s="24"/>
      <c r="Y223" s="24"/>
      <c r="Z223" s="24"/>
      <c r="AB223" s="24"/>
      <c r="AD223" s="24"/>
    </row>
    <row r="224" spans="1:73">
      <c r="A224" s="8"/>
      <c r="C224" s="21" t="s">
        <v>78</v>
      </c>
      <c r="D224" s="21"/>
      <c r="E224" s="52"/>
      <c r="G224" s="24"/>
      <c r="I224" s="24"/>
      <c r="K224" s="24"/>
      <c r="M224" s="24"/>
      <c r="N224" s="24"/>
      <c r="O224" s="24"/>
      <c r="P224" s="24"/>
      <c r="Q224" s="24"/>
      <c r="V224" s="24"/>
      <c r="W224" s="24"/>
      <c r="X224" s="24"/>
      <c r="Y224" s="24"/>
      <c r="Z224" s="24"/>
      <c r="AB224" s="24"/>
      <c r="AD224" s="24"/>
    </row>
    <row r="225" spans="1:31">
      <c r="A225" s="8">
        <v>7</v>
      </c>
      <c r="B225" s="8"/>
      <c r="C225" s="8">
        <v>907</v>
      </c>
      <c r="D225" s="8"/>
      <c r="E225" s="39" t="s">
        <v>195</v>
      </c>
      <c r="F225" s="15"/>
      <c r="G225" s="24">
        <v>1166372.17</v>
      </c>
      <c r="I225" s="24">
        <v>0</v>
      </c>
      <c r="K225" s="24">
        <f t="shared" ref="K225:K231" si="54">SUM(G225:J225)</f>
        <v>1166372.17</v>
      </c>
      <c r="M225" s="24"/>
      <c r="N225" s="24"/>
      <c r="O225" s="24">
        <v>0</v>
      </c>
      <c r="P225" s="24"/>
      <c r="Q225" s="24">
        <v>5532</v>
      </c>
      <c r="R225" s="24"/>
      <c r="S225" s="24">
        <f t="shared" ref="S225:S231" si="55">+M225+Q225</f>
        <v>5532</v>
      </c>
      <c r="T225" s="24"/>
      <c r="U225" s="24"/>
      <c r="V225" s="24">
        <f t="shared" ref="V225:V231" si="56">+K225+S225</f>
        <v>1171904.17</v>
      </c>
      <c r="W225" s="24"/>
      <c r="X225" s="24">
        <v>0</v>
      </c>
      <c r="Y225" s="24"/>
      <c r="Z225" s="24">
        <v>43166</v>
      </c>
      <c r="AA225" s="24"/>
      <c r="AB225" s="24">
        <v>0</v>
      </c>
      <c r="AC225" s="24"/>
      <c r="AD225" s="24">
        <f t="shared" ref="AD225:AD226" si="57">+V225+X225+Z225+AB225</f>
        <v>1215070.17</v>
      </c>
    </row>
    <row r="226" spans="1:31">
      <c r="A226" s="8">
        <v>8</v>
      </c>
      <c r="B226" s="8"/>
      <c r="C226" s="8">
        <v>908</v>
      </c>
      <c r="D226" s="8"/>
      <c r="E226" s="39" t="s">
        <v>202</v>
      </c>
      <c r="F226" s="15"/>
      <c r="G226" s="24">
        <v>9974931.0700000003</v>
      </c>
      <c r="I226" s="24">
        <f>-473-11</f>
        <v>-484</v>
      </c>
      <c r="K226" s="24">
        <f t="shared" si="54"/>
        <v>9974447.0700000003</v>
      </c>
      <c r="M226" s="24"/>
      <c r="N226" s="24"/>
      <c r="O226" s="24">
        <v>0</v>
      </c>
      <c r="P226" s="24"/>
      <c r="Q226" s="24">
        <v>46684</v>
      </c>
      <c r="R226" s="24"/>
      <c r="S226" s="24">
        <f t="shared" si="55"/>
        <v>46684</v>
      </c>
      <c r="T226" s="24"/>
      <c r="U226" s="24"/>
      <c r="V226" s="24">
        <f t="shared" si="56"/>
        <v>10021131.07</v>
      </c>
      <c r="W226" s="24"/>
      <c r="X226" s="24">
        <v>0</v>
      </c>
      <c r="Y226" s="24"/>
      <c r="Z226" s="24">
        <v>364291</v>
      </c>
      <c r="AA226" s="24"/>
      <c r="AB226" s="24">
        <v>0</v>
      </c>
      <c r="AC226" s="24"/>
      <c r="AD226" s="24">
        <f t="shared" si="57"/>
        <v>10385422.07</v>
      </c>
    </row>
    <row r="227" spans="1:31">
      <c r="A227" s="8">
        <v>9</v>
      </c>
      <c r="B227" s="8"/>
      <c r="C227" s="8">
        <v>908</v>
      </c>
      <c r="D227" s="8"/>
      <c r="E227" s="26" t="s">
        <v>203</v>
      </c>
      <c r="F227" s="15"/>
      <c r="G227" s="24">
        <v>25912503.620000001</v>
      </c>
      <c r="I227" s="24">
        <v>-25912503.620000001</v>
      </c>
      <c r="K227" s="24">
        <f t="shared" si="54"/>
        <v>0</v>
      </c>
      <c r="M227" s="24"/>
      <c r="N227" s="24"/>
      <c r="O227" s="24">
        <v>0</v>
      </c>
      <c r="P227" s="24"/>
      <c r="Q227" s="24">
        <v>0</v>
      </c>
      <c r="R227" s="24"/>
      <c r="S227" s="24">
        <f t="shared" si="55"/>
        <v>0</v>
      </c>
      <c r="T227" s="24"/>
      <c r="U227" s="24"/>
      <c r="V227" s="24">
        <f t="shared" si="56"/>
        <v>0</v>
      </c>
      <c r="W227" s="24"/>
      <c r="X227" s="24">
        <v>0</v>
      </c>
      <c r="Y227" s="24"/>
      <c r="Z227" s="24">
        <v>0</v>
      </c>
      <c r="AA227" s="24"/>
      <c r="AB227" s="24">
        <v>0</v>
      </c>
      <c r="AC227" s="24"/>
      <c r="AD227" s="24">
        <f t="shared" ref="AD227:AD231" si="58">+V227+X227+Z227+AB227</f>
        <v>0</v>
      </c>
    </row>
    <row r="228" spans="1:31">
      <c r="A228" s="8">
        <v>10</v>
      </c>
      <c r="B228" s="8"/>
      <c r="C228" s="8">
        <v>908</v>
      </c>
      <c r="D228" s="8"/>
      <c r="E228" s="26" t="s">
        <v>204</v>
      </c>
      <c r="F228" s="15"/>
      <c r="G228" s="24">
        <v>1668197.78</v>
      </c>
      <c r="I228" s="24">
        <v>-1668197.78</v>
      </c>
      <c r="K228" s="24">
        <f t="shared" ref="K228" si="59">SUM(G228:J228)</f>
        <v>0</v>
      </c>
      <c r="M228" s="24"/>
      <c r="N228" s="24"/>
      <c r="O228" s="24">
        <v>0</v>
      </c>
      <c r="P228" s="24"/>
      <c r="Q228" s="24">
        <v>0</v>
      </c>
      <c r="R228" s="24"/>
      <c r="S228" s="24">
        <f t="shared" ref="S228" si="60">+M228+Q228</f>
        <v>0</v>
      </c>
      <c r="T228" s="24"/>
      <c r="U228" s="24"/>
      <c r="V228" s="24">
        <f t="shared" ref="V228" si="61">+K228+S228</f>
        <v>0</v>
      </c>
      <c r="W228" s="24"/>
      <c r="X228" s="24">
        <v>0</v>
      </c>
      <c r="Y228" s="24"/>
      <c r="Z228" s="24">
        <v>0</v>
      </c>
      <c r="AA228" s="24"/>
      <c r="AB228" s="24">
        <v>0</v>
      </c>
      <c r="AC228" s="24"/>
      <c r="AD228" s="24">
        <f t="shared" ref="AD228" si="62">+V228+X228+Z228+AB228</f>
        <v>0</v>
      </c>
    </row>
    <row r="229" spans="1:31">
      <c r="A229" s="8">
        <v>11</v>
      </c>
      <c r="B229" s="8"/>
      <c r="C229" s="8">
        <v>909</v>
      </c>
      <c r="D229" s="8"/>
      <c r="E229" s="39" t="s">
        <v>205</v>
      </c>
      <c r="F229" s="15"/>
      <c r="G229" s="24">
        <v>342953.54</v>
      </c>
      <c r="I229" s="24">
        <v>0</v>
      </c>
      <c r="K229" s="24">
        <f t="shared" si="54"/>
        <v>342953.54</v>
      </c>
      <c r="M229" s="24"/>
      <c r="N229" s="24"/>
      <c r="O229" s="24">
        <v>0</v>
      </c>
      <c r="P229" s="24"/>
      <c r="Q229" s="24">
        <v>0</v>
      </c>
      <c r="R229" s="24"/>
      <c r="S229" s="24">
        <f t="shared" si="55"/>
        <v>0</v>
      </c>
      <c r="T229" s="24"/>
      <c r="U229" s="24"/>
      <c r="V229" s="24">
        <f t="shared" si="56"/>
        <v>342953.54</v>
      </c>
      <c r="W229" s="24"/>
      <c r="X229" s="24">
        <v>0</v>
      </c>
      <c r="Y229" s="24"/>
      <c r="Z229" s="24">
        <v>0</v>
      </c>
      <c r="AA229" s="24"/>
      <c r="AB229" s="24">
        <v>0</v>
      </c>
      <c r="AC229" s="24"/>
      <c r="AD229" s="24">
        <f t="shared" si="58"/>
        <v>342953.54</v>
      </c>
    </row>
    <row r="230" spans="1:31">
      <c r="A230" s="8">
        <v>12</v>
      </c>
      <c r="B230" s="8"/>
      <c r="C230" s="8">
        <v>910</v>
      </c>
      <c r="D230" s="8"/>
      <c r="E230" s="39" t="s">
        <v>206</v>
      </c>
      <c r="F230" s="15"/>
      <c r="G230" s="24">
        <v>733642.99</v>
      </c>
      <c r="I230" s="24">
        <v>0</v>
      </c>
      <c r="K230" s="24">
        <f t="shared" si="54"/>
        <v>733642.99</v>
      </c>
      <c r="M230" s="24"/>
      <c r="N230" s="24"/>
      <c r="O230" s="24">
        <v>0</v>
      </c>
      <c r="P230" s="24"/>
      <c r="Q230" s="24">
        <v>2148</v>
      </c>
      <c r="R230" s="24"/>
      <c r="S230" s="24">
        <f t="shared" si="55"/>
        <v>2148</v>
      </c>
      <c r="T230" s="24"/>
      <c r="U230" s="24"/>
      <c r="V230" s="24">
        <f t="shared" si="56"/>
        <v>735790.99</v>
      </c>
      <c r="W230" s="24"/>
      <c r="X230" s="24">
        <v>0</v>
      </c>
      <c r="Y230" s="24"/>
      <c r="Z230" s="24">
        <v>16759</v>
      </c>
      <c r="AA230" s="24"/>
      <c r="AB230" s="24">
        <v>0</v>
      </c>
      <c r="AC230" s="24"/>
      <c r="AD230" s="24">
        <f t="shared" si="58"/>
        <v>752549.99</v>
      </c>
    </row>
    <row r="231" spans="1:31">
      <c r="A231" s="8">
        <v>13</v>
      </c>
      <c r="B231" s="8"/>
      <c r="C231" s="5">
        <v>912</v>
      </c>
      <c r="D231" s="8"/>
      <c r="E231" s="26" t="s">
        <v>207</v>
      </c>
      <c r="F231" s="15"/>
      <c r="G231" s="27">
        <v>0</v>
      </c>
      <c r="I231" s="27">
        <v>0</v>
      </c>
      <c r="K231" s="27">
        <f t="shared" si="54"/>
        <v>0</v>
      </c>
      <c r="M231" s="24"/>
      <c r="N231" s="24"/>
      <c r="O231" s="27">
        <v>0</v>
      </c>
      <c r="P231" s="24"/>
      <c r="Q231" s="27">
        <v>0</v>
      </c>
      <c r="R231" s="24"/>
      <c r="S231" s="27">
        <f t="shared" si="55"/>
        <v>0</v>
      </c>
      <c r="T231" s="24"/>
      <c r="U231" s="24"/>
      <c r="V231" s="27">
        <f t="shared" si="56"/>
        <v>0</v>
      </c>
      <c r="W231" s="24"/>
      <c r="X231" s="27">
        <v>0</v>
      </c>
      <c r="Y231" s="24"/>
      <c r="Z231" s="27">
        <v>0</v>
      </c>
      <c r="AA231" s="24"/>
      <c r="AB231" s="27">
        <v>0</v>
      </c>
      <c r="AC231" s="24"/>
      <c r="AD231" s="27">
        <f t="shared" si="58"/>
        <v>0</v>
      </c>
    </row>
    <row r="232" spans="1:31">
      <c r="A232" s="8"/>
      <c r="E232" s="52"/>
      <c r="G232" s="24"/>
      <c r="I232" s="24"/>
      <c r="K232" s="24"/>
      <c r="M232" s="24"/>
      <c r="N232" s="24"/>
      <c r="O232" s="24"/>
      <c r="P232" s="24"/>
      <c r="Q232" s="24"/>
      <c r="V232" s="24"/>
      <c r="W232" s="24"/>
      <c r="X232" s="24"/>
      <c r="Y232" s="24"/>
      <c r="Z232" s="24"/>
      <c r="AB232" s="24"/>
      <c r="AD232" s="24"/>
    </row>
    <row r="233" spans="1:31">
      <c r="A233" s="8"/>
      <c r="C233" s="21" t="s">
        <v>208</v>
      </c>
      <c r="D233" s="21"/>
      <c r="E233" s="52"/>
      <c r="G233" s="24"/>
      <c r="I233" s="24"/>
      <c r="K233" s="24"/>
      <c r="M233" s="24"/>
      <c r="N233" s="24"/>
      <c r="O233" s="24"/>
      <c r="P233" s="24"/>
      <c r="Q233" s="24"/>
      <c r="V233" s="24"/>
      <c r="W233" s="24"/>
      <c r="X233" s="24"/>
      <c r="Y233" s="24"/>
      <c r="Z233" s="24"/>
      <c r="AB233" s="24"/>
      <c r="AD233" s="24"/>
    </row>
    <row r="234" spans="1:31">
      <c r="A234" s="8">
        <v>14</v>
      </c>
      <c r="B234" s="8"/>
      <c r="C234" s="233" t="s">
        <v>209</v>
      </c>
      <c r="D234" s="233"/>
      <c r="E234" s="233"/>
      <c r="F234" s="15"/>
      <c r="G234" s="27">
        <f>SUM(G225:G233)</f>
        <v>39798601.170000002</v>
      </c>
      <c r="I234" s="27">
        <f>SUM(I225:I233)</f>
        <v>-27581185.400000002</v>
      </c>
      <c r="K234" s="27">
        <f>SUM(K225:K233)</f>
        <v>12217415.77</v>
      </c>
      <c r="M234" s="24"/>
      <c r="N234" s="24"/>
      <c r="O234" s="27">
        <f>SUM(O225:O233)</f>
        <v>0</v>
      </c>
      <c r="P234" s="24"/>
      <c r="Q234" s="27">
        <f>SUM(Q225:Q233)</f>
        <v>54364</v>
      </c>
      <c r="S234" s="27">
        <f>SUM(S225:S233)</f>
        <v>54364</v>
      </c>
      <c r="T234" s="24"/>
      <c r="V234" s="27">
        <f>SUM(V225:V233)</f>
        <v>12271779.77</v>
      </c>
      <c r="W234" s="24"/>
      <c r="X234" s="27">
        <f>SUM(X225:X233)</f>
        <v>0</v>
      </c>
      <c r="Y234" s="24"/>
      <c r="Z234" s="27">
        <f>SUM(Z225:Z233)</f>
        <v>424216</v>
      </c>
      <c r="AB234" s="27">
        <f>SUM(AB225:AB233)</f>
        <v>0</v>
      </c>
      <c r="AD234" s="27">
        <f>SUM(AD225:AD233)</f>
        <v>12695995.77</v>
      </c>
    </row>
    <row r="235" spans="1:31">
      <c r="A235" s="8"/>
      <c r="E235" s="52"/>
      <c r="G235" s="24"/>
      <c r="I235" s="24"/>
      <c r="K235" s="24"/>
      <c r="M235" s="24"/>
      <c r="N235" s="24"/>
      <c r="O235" s="24"/>
      <c r="P235" s="24"/>
      <c r="Q235" s="24"/>
      <c r="V235" s="24"/>
      <c r="W235" s="24"/>
      <c r="X235" s="24"/>
      <c r="Y235" s="24"/>
      <c r="Z235" s="24"/>
      <c r="AB235" s="24"/>
      <c r="AD235" s="24"/>
    </row>
    <row r="236" spans="1:31">
      <c r="A236" s="8"/>
      <c r="C236" s="21" t="s">
        <v>210</v>
      </c>
      <c r="D236" s="21"/>
      <c r="E236" s="52"/>
      <c r="G236" s="24"/>
      <c r="I236" s="24"/>
      <c r="K236" s="24"/>
      <c r="M236" s="24"/>
      <c r="N236" s="24"/>
      <c r="O236" s="24"/>
      <c r="P236" s="24"/>
      <c r="Q236" s="24"/>
      <c r="V236" s="24"/>
      <c r="W236" s="24"/>
      <c r="X236" s="24"/>
      <c r="Y236" s="24"/>
      <c r="Z236" s="24"/>
      <c r="AB236" s="24"/>
      <c r="AD236" s="24"/>
    </row>
    <row r="237" spans="1:31">
      <c r="A237" s="8"/>
      <c r="C237" s="21" t="s">
        <v>78</v>
      </c>
      <c r="D237" s="21"/>
      <c r="E237" s="52"/>
      <c r="G237" s="24"/>
      <c r="I237" s="24"/>
      <c r="K237" s="24"/>
      <c r="M237" s="24"/>
      <c r="N237" s="24"/>
      <c r="O237" s="24"/>
      <c r="P237" s="24"/>
      <c r="Q237" s="24"/>
      <c r="V237" s="24"/>
      <c r="W237" s="24"/>
      <c r="X237" s="24"/>
      <c r="Y237" s="24"/>
      <c r="Z237" s="24"/>
      <c r="AB237" s="24"/>
      <c r="AD237" s="24"/>
    </row>
    <row r="238" spans="1:31">
      <c r="A238" s="8">
        <v>15</v>
      </c>
      <c r="B238" s="8"/>
      <c r="C238" s="8" t="s">
        <v>211</v>
      </c>
      <c r="D238" s="8"/>
      <c r="E238" s="23" t="s">
        <v>212</v>
      </c>
      <c r="F238" s="15"/>
      <c r="G238" s="24">
        <v>80086335.590000004</v>
      </c>
      <c r="I238" s="24">
        <v>0</v>
      </c>
      <c r="K238" s="24">
        <f>SUM(G238:J238)</f>
        <v>80086335.590000004</v>
      </c>
      <c r="M238" s="24"/>
      <c r="N238" s="24"/>
      <c r="O238" s="24">
        <v>0</v>
      </c>
      <c r="P238" s="24"/>
      <c r="Q238" s="24">
        <v>398172</v>
      </c>
      <c r="R238" s="24"/>
      <c r="S238" s="24">
        <f t="shared" ref="S238:S254" si="63">+M238+Q238</f>
        <v>398172</v>
      </c>
      <c r="T238" s="24"/>
      <c r="U238" s="24"/>
      <c r="V238" s="24">
        <f t="shared" ref="V238:V254" si="64">+K238+S238</f>
        <v>80484507.590000004</v>
      </c>
      <c r="W238" s="24"/>
      <c r="X238" s="24">
        <v>0</v>
      </c>
      <c r="Y238" s="24"/>
      <c r="Z238" s="24">
        <v>3107044</v>
      </c>
      <c r="AA238" s="24"/>
      <c r="AB238" s="24">
        <v>0</v>
      </c>
      <c r="AC238" s="24"/>
      <c r="AD238" s="24">
        <f t="shared" ref="AD238:AD249" si="65">+V238+X238+Z238+AB238</f>
        <v>83591551.590000004</v>
      </c>
    </row>
    <row r="239" spans="1:31">
      <c r="A239" s="8">
        <f>A238+1</f>
        <v>16</v>
      </c>
      <c r="B239" s="8"/>
      <c r="C239" s="8" t="s">
        <v>211</v>
      </c>
      <c r="D239" s="8"/>
      <c r="E239" s="23" t="s">
        <v>213</v>
      </c>
      <c r="F239" s="15"/>
      <c r="G239" s="24">
        <v>30168168</v>
      </c>
      <c r="I239" s="24">
        <v>-30168168</v>
      </c>
      <c r="K239" s="24">
        <f>SUM(G239:J239)</f>
        <v>0</v>
      </c>
      <c r="M239" s="24"/>
      <c r="N239" s="24"/>
      <c r="O239" s="24"/>
      <c r="P239" s="24"/>
      <c r="Q239" s="24">
        <v>11949316</v>
      </c>
      <c r="R239" s="24"/>
      <c r="S239" s="24">
        <f t="shared" si="63"/>
        <v>11949316</v>
      </c>
      <c r="T239" s="24"/>
      <c r="U239" s="24"/>
      <c r="V239" s="24">
        <f t="shared" si="64"/>
        <v>11949316</v>
      </c>
      <c r="W239" s="24"/>
      <c r="X239" s="24"/>
      <c r="Y239" s="24"/>
      <c r="Z239" s="24">
        <v>0</v>
      </c>
      <c r="AA239" s="24"/>
      <c r="AB239" s="24"/>
      <c r="AC239" s="24"/>
      <c r="AD239" s="24">
        <f t="shared" si="65"/>
        <v>11949316</v>
      </c>
      <c r="AE239" s="78"/>
    </row>
    <row r="240" spans="1:31">
      <c r="A240" s="8">
        <f t="shared" ref="A240:A254" si="66">A239+1</f>
        <v>17</v>
      </c>
      <c r="B240" s="8"/>
      <c r="C240" s="8" t="s">
        <v>214</v>
      </c>
      <c r="D240" s="8"/>
      <c r="E240" s="23" t="s">
        <v>215</v>
      </c>
      <c r="F240" s="15"/>
      <c r="G240" s="24">
        <v>19328502.059999999</v>
      </c>
      <c r="I240" s="24">
        <f>-8292-16025-4859</f>
        <v>-29176</v>
      </c>
      <c r="K240" s="24">
        <f t="shared" ref="K240:K254" si="67">SUM(G240:J240)</f>
        <v>19299326.059999999</v>
      </c>
      <c r="M240" s="24"/>
      <c r="N240" s="24"/>
      <c r="O240" s="24">
        <v>0</v>
      </c>
      <c r="P240" s="24"/>
      <c r="Q240" s="24">
        <f>-688840.52+2404</f>
        <v>-686436.52</v>
      </c>
      <c r="R240" s="24"/>
      <c r="S240" s="24">
        <f t="shared" si="63"/>
        <v>-686436.52</v>
      </c>
      <c r="T240" s="24"/>
      <c r="U240" s="24"/>
      <c r="V240" s="24">
        <f t="shared" si="64"/>
        <v>18612889.539999999</v>
      </c>
      <c r="W240" s="24"/>
      <c r="X240" s="24">
        <v>0</v>
      </c>
      <c r="Y240" s="24"/>
      <c r="Z240" s="24">
        <v>18757</v>
      </c>
      <c r="AA240" s="24"/>
      <c r="AB240" s="24">
        <v>0</v>
      </c>
      <c r="AC240" s="24"/>
      <c r="AD240" s="24">
        <f t="shared" si="65"/>
        <v>18631646.539999999</v>
      </c>
    </row>
    <row r="241" spans="1:30">
      <c r="A241" s="8">
        <f t="shared" si="66"/>
        <v>18</v>
      </c>
      <c r="B241" s="8"/>
      <c r="C241" s="8" t="s">
        <v>216</v>
      </c>
      <c r="D241" s="8"/>
      <c r="E241" s="23" t="s">
        <v>217</v>
      </c>
      <c r="F241" s="15"/>
      <c r="G241" s="24">
        <v>-47555950.57</v>
      </c>
      <c r="I241" s="24">
        <v>0</v>
      </c>
      <c r="K241" s="24">
        <f t="shared" si="67"/>
        <v>-47555950.57</v>
      </c>
      <c r="M241" s="24"/>
      <c r="N241" s="24"/>
      <c r="O241" s="24">
        <v>0</v>
      </c>
      <c r="P241" s="24"/>
      <c r="Q241" s="24">
        <v>-235937</v>
      </c>
      <c r="R241" s="24"/>
      <c r="S241" s="24">
        <f t="shared" si="63"/>
        <v>-235937</v>
      </c>
      <c r="T241" s="24"/>
      <c r="U241" s="24"/>
      <c r="V241" s="24">
        <f t="shared" si="64"/>
        <v>-47791887.57</v>
      </c>
      <c r="W241" s="24"/>
      <c r="X241" s="24">
        <v>0</v>
      </c>
      <c r="Y241" s="24"/>
      <c r="Z241" s="24">
        <v>-1841082</v>
      </c>
      <c r="AA241" s="24"/>
      <c r="AB241" s="24">
        <v>0</v>
      </c>
      <c r="AC241" s="24"/>
      <c r="AD241" s="24">
        <f t="shared" si="65"/>
        <v>-49632969.57</v>
      </c>
    </row>
    <row r="242" spans="1:30">
      <c r="A242" s="8">
        <f t="shared" si="66"/>
        <v>19</v>
      </c>
      <c r="B242" s="8"/>
      <c r="C242" s="8" t="s">
        <v>218</v>
      </c>
      <c r="D242" s="8"/>
      <c r="E242" s="23" t="s">
        <v>219</v>
      </c>
      <c r="F242" s="15"/>
      <c r="G242" s="24">
        <v>10696561.65</v>
      </c>
      <c r="I242" s="24">
        <f>7520-445.5-346.5-1621.5-2</f>
        <v>5104.5</v>
      </c>
      <c r="K242" s="24">
        <f t="shared" si="67"/>
        <v>10701666.15</v>
      </c>
      <c r="M242" s="24"/>
      <c r="N242" s="24"/>
      <c r="O242" s="24">
        <v>0</v>
      </c>
      <c r="P242" s="24"/>
      <c r="Q242" s="24">
        <v>0</v>
      </c>
      <c r="R242" s="24"/>
      <c r="S242" s="24">
        <f t="shared" si="63"/>
        <v>0</v>
      </c>
      <c r="T242" s="24"/>
      <c r="U242" s="24"/>
      <c r="V242" s="24">
        <f t="shared" si="64"/>
        <v>10701666.15</v>
      </c>
      <c r="W242" s="24"/>
      <c r="X242" s="24">
        <v>0</v>
      </c>
      <c r="Y242" s="24"/>
      <c r="Z242" s="24">
        <v>0</v>
      </c>
      <c r="AA242" s="24"/>
      <c r="AB242" s="24">
        <v>0</v>
      </c>
      <c r="AC242" s="24"/>
      <c r="AD242" s="24">
        <f t="shared" si="65"/>
        <v>10701666.15</v>
      </c>
    </row>
    <row r="243" spans="1:30">
      <c r="A243" s="8">
        <f t="shared" si="66"/>
        <v>20</v>
      </c>
      <c r="B243" s="8"/>
      <c r="C243" s="8" t="s">
        <v>220</v>
      </c>
      <c r="D243" s="8"/>
      <c r="E243" s="23" t="s">
        <v>221</v>
      </c>
      <c r="F243" s="15"/>
      <c r="G243" s="24">
        <v>5047710.75</v>
      </c>
      <c r="I243" s="24">
        <f>1228229</f>
        <v>1228229</v>
      </c>
      <c r="K243" s="24">
        <f t="shared" si="67"/>
        <v>6275939.75</v>
      </c>
      <c r="M243" s="24"/>
      <c r="N243" s="24"/>
      <c r="O243" s="24">
        <v>0</v>
      </c>
      <c r="P243" s="24"/>
      <c r="Q243" s="24">
        <f>1585990+2589</f>
        <v>1588579</v>
      </c>
      <c r="R243" s="24"/>
      <c r="S243" s="24">
        <f t="shared" si="63"/>
        <v>1588579</v>
      </c>
      <c r="T243" s="24"/>
      <c r="U243" s="24"/>
      <c r="V243" s="24">
        <f t="shared" si="64"/>
        <v>7864518.75</v>
      </c>
      <c r="W243" s="24"/>
      <c r="X243" s="24">
        <v>0</v>
      </c>
      <c r="Y243" s="24"/>
      <c r="Z243" s="24">
        <f>20204+112609</f>
        <v>132813</v>
      </c>
      <c r="AA243" s="24"/>
      <c r="AB243" s="24">
        <v>0</v>
      </c>
      <c r="AC243" s="24"/>
      <c r="AD243" s="24">
        <f t="shared" si="65"/>
        <v>7997331.75</v>
      </c>
    </row>
    <row r="244" spans="1:30">
      <c r="A244" s="8">
        <f t="shared" si="66"/>
        <v>21</v>
      </c>
      <c r="B244" s="8"/>
      <c r="C244" s="8" t="s">
        <v>222</v>
      </c>
      <c r="D244" s="8"/>
      <c r="E244" s="23" t="s">
        <v>223</v>
      </c>
      <c r="F244" s="15"/>
      <c r="G244" s="24">
        <v>10612689.5</v>
      </c>
      <c r="I244" s="24">
        <f>4198655</f>
        <v>4198655</v>
      </c>
      <c r="K244" s="24">
        <f t="shared" si="67"/>
        <v>14811344.5</v>
      </c>
      <c r="M244" s="24"/>
      <c r="N244" s="24"/>
      <c r="O244" s="24">
        <v>0</v>
      </c>
      <c r="P244" s="24"/>
      <c r="Q244" s="24">
        <f>4011313+1409</f>
        <v>4012722</v>
      </c>
      <c r="R244" s="24"/>
      <c r="S244" s="24">
        <f t="shared" si="63"/>
        <v>4012722</v>
      </c>
      <c r="T244" s="24"/>
      <c r="U244" s="24"/>
      <c r="V244" s="24">
        <f t="shared" si="64"/>
        <v>18824066.5</v>
      </c>
      <c r="W244" s="24"/>
      <c r="X244" s="24">
        <v>0</v>
      </c>
      <c r="Y244" s="24"/>
      <c r="Z244" s="24">
        <v>10998</v>
      </c>
      <c r="AA244" s="24"/>
      <c r="AB244" s="24">
        <v>0</v>
      </c>
      <c r="AC244" s="24"/>
      <c r="AD244" s="24">
        <f t="shared" si="65"/>
        <v>18835064.5</v>
      </c>
    </row>
    <row r="245" spans="1:30">
      <c r="A245" s="8">
        <f t="shared" si="66"/>
        <v>22</v>
      </c>
      <c r="B245" s="8"/>
      <c r="C245" s="8" t="s">
        <v>224</v>
      </c>
      <c r="D245" s="8"/>
      <c r="E245" s="23" t="s">
        <v>225</v>
      </c>
      <c r="F245" s="15"/>
      <c r="G245" s="24">
        <v>48372013.030000001</v>
      </c>
      <c r="I245" s="24">
        <f>-287-34</f>
        <v>-321</v>
      </c>
      <c r="K245" s="24">
        <f t="shared" si="67"/>
        <v>48371692.030000001</v>
      </c>
      <c r="M245" s="24"/>
      <c r="N245" s="24"/>
      <c r="O245" s="24">
        <v>0</v>
      </c>
      <c r="P245" s="24"/>
      <c r="Q245" s="24">
        <v>237835</v>
      </c>
      <c r="R245" s="24"/>
      <c r="S245" s="24">
        <f t="shared" si="63"/>
        <v>237835</v>
      </c>
      <c r="T245" s="24"/>
      <c r="U245" s="24"/>
      <c r="V245" s="24">
        <f t="shared" si="64"/>
        <v>48609527.030000001</v>
      </c>
      <c r="W245" s="24"/>
      <c r="X245" s="24">
        <v>0</v>
      </c>
      <c r="Y245" s="24"/>
      <c r="Z245" s="24">
        <v>1855892</v>
      </c>
      <c r="AA245" s="24"/>
      <c r="AB245" s="24">
        <v>0</v>
      </c>
      <c r="AC245" s="24"/>
      <c r="AD245" s="24">
        <f t="shared" si="65"/>
        <v>50465419.030000001</v>
      </c>
    </row>
    <row r="246" spans="1:30">
      <c r="A246" s="8">
        <f t="shared" si="66"/>
        <v>23</v>
      </c>
      <c r="B246" s="8"/>
      <c r="C246" s="8" t="s">
        <v>226</v>
      </c>
      <c r="D246" s="8"/>
      <c r="E246" s="23" t="s">
        <v>227</v>
      </c>
      <c r="F246" s="15"/>
      <c r="G246" s="24">
        <v>542860.68000000005</v>
      </c>
      <c r="I246" s="24">
        <v>0</v>
      </c>
      <c r="K246" s="24">
        <f t="shared" si="67"/>
        <v>542860.68000000005</v>
      </c>
      <c r="M246" s="24"/>
      <c r="N246" s="24"/>
      <c r="O246" s="24">
        <v>0</v>
      </c>
      <c r="P246" s="24"/>
      <c r="Q246" s="24">
        <v>0</v>
      </c>
      <c r="R246" s="24"/>
      <c r="S246" s="24">
        <f t="shared" si="63"/>
        <v>0</v>
      </c>
      <c r="T246" s="24"/>
      <c r="U246" s="24"/>
      <c r="V246" s="24">
        <f t="shared" si="64"/>
        <v>542860.68000000005</v>
      </c>
      <c r="W246" s="24"/>
      <c r="X246" s="24">
        <v>0</v>
      </c>
      <c r="Y246" s="24"/>
      <c r="Z246" s="24">
        <v>0</v>
      </c>
      <c r="AA246" s="24"/>
      <c r="AB246" s="24">
        <v>0</v>
      </c>
      <c r="AC246" s="24"/>
      <c r="AD246" s="24">
        <f t="shared" ref="AD246" si="68">+V246+X246+Z246+AB246</f>
        <v>542860.68000000005</v>
      </c>
    </row>
    <row r="247" spans="1:30">
      <c r="A247" s="8">
        <f t="shared" si="66"/>
        <v>24</v>
      </c>
      <c r="B247" s="8"/>
      <c r="C247" s="8">
        <v>926.20399999999995</v>
      </c>
      <c r="D247" s="8"/>
      <c r="E247" s="23" t="s">
        <v>228</v>
      </c>
      <c r="F247" s="15"/>
      <c r="G247" s="24">
        <v>35182378</v>
      </c>
      <c r="I247" s="24">
        <v>0</v>
      </c>
      <c r="K247" s="24">
        <f t="shared" ref="K247:K248" si="69">SUM(G247:J247)</f>
        <v>35182378</v>
      </c>
      <c r="M247" s="24"/>
      <c r="N247" s="24"/>
      <c r="O247" s="24">
        <v>0</v>
      </c>
      <c r="P247" s="24"/>
      <c r="Q247" s="24">
        <v>0</v>
      </c>
      <c r="R247" s="24"/>
      <c r="S247" s="24">
        <f t="shared" ref="S247:S248" si="70">+M247+Q247</f>
        <v>0</v>
      </c>
      <c r="T247" s="24"/>
      <c r="U247" s="24"/>
      <c r="V247" s="24">
        <f t="shared" ref="V247:V248" si="71">+K247+S247</f>
        <v>35182378</v>
      </c>
      <c r="W247" s="24"/>
      <c r="X247" s="24">
        <v>0</v>
      </c>
      <c r="Y247" s="24"/>
      <c r="Z247" s="24">
        <v>0</v>
      </c>
      <c r="AA247" s="24"/>
      <c r="AB247" s="24">
        <v>0</v>
      </c>
      <c r="AC247" s="24"/>
      <c r="AD247" s="24">
        <f t="shared" ref="AD247:AD248" si="72">+V247+X247+Z247+AB247</f>
        <v>35182378</v>
      </c>
    </row>
    <row r="248" spans="1:30">
      <c r="A248" s="8">
        <f t="shared" si="66"/>
        <v>25</v>
      </c>
      <c r="B248" s="8"/>
      <c r="C248" s="8">
        <v>926.20500000000004</v>
      </c>
      <c r="D248" s="8"/>
      <c r="E248" s="23" t="s">
        <v>229</v>
      </c>
      <c r="F248" s="15"/>
      <c r="G248" s="24">
        <v>0</v>
      </c>
      <c r="I248" s="24">
        <v>0</v>
      </c>
      <c r="K248" s="24">
        <f t="shared" si="69"/>
        <v>0</v>
      </c>
      <c r="M248" s="24"/>
      <c r="N248" s="24"/>
      <c r="O248" s="24">
        <v>0</v>
      </c>
      <c r="P248" s="24"/>
      <c r="Q248" s="24">
        <v>0</v>
      </c>
      <c r="R248" s="24"/>
      <c r="S248" s="24">
        <f t="shared" si="70"/>
        <v>0</v>
      </c>
      <c r="T248" s="24"/>
      <c r="U248" s="24"/>
      <c r="V248" s="24">
        <f t="shared" si="71"/>
        <v>0</v>
      </c>
      <c r="W248" s="24"/>
      <c r="X248" s="24">
        <v>0</v>
      </c>
      <c r="Y248" s="24"/>
      <c r="Z248" s="24">
        <v>0</v>
      </c>
      <c r="AA248" s="24"/>
      <c r="AB248" s="24">
        <v>0</v>
      </c>
      <c r="AC248" s="24"/>
      <c r="AD248" s="24">
        <f t="shared" si="72"/>
        <v>0</v>
      </c>
    </row>
    <row r="249" spans="1:30">
      <c r="A249" s="8">
        <f t="shared" si="66"/>
        <v>26</v>
      </c>
      <c r="B249" s="8"/>
      <c r="C249" s="8" t="s">
        <v>230</v>
      </c>
      <c r="D249" s="8"/>
      <c r="E249" s="23" t="s">
        <v>231</v>
      </c>
      <c r="F249" s="15"/>
      <c r="G249" s="24">
        <v>0</v>
      </c>
      <c r="I249" s="24">
        <v>0</v>
      </c>
      <c r="K249" s="24">
        <f t="shared" si="67"/>
        <v>0</v>
      </c>
      <c r="M249" s="24"/>
      <c r="N249" s="24"/>
      <c r="O249" s="24">
        <v>0</v>
      </c>
      <c r="P249" s="24"/>
      <c r="Q249" s="24">
        <v>0</v>
      </c>
      <c r="R249" s="24"/>
      <c r="S249" s="24">
        <f t="shared" si="63"/>
        <v>0</v>
      </c>
      <c r="T249" s="24"/>
      <c r="U249" s="24"/>
      <c r="V249" s="24">
        <f t="shared" si="64"/>
        <v>0</v>
      </c>
      <c r="W249" s="24"/>
      <c r="X249" s="24">
        <v>0</v>
      </c>
      <c r="Y249" s="24"/>
      <c r="Z249" s="24">
        <v>0</v>
      </c>
      <c r="AA249" s="24"/>
      <c r="AB249" s="24">
        <v>0</v>
      </c>
      <c r="AC249" s="24"/>
      <c r="AD249" s="24">
        <f t="shared" si="65"/>
        <v>0</v>
      </c>
    </row>
    <row r="250" spans="1:30">
      <c r="A250" s="8">
        <f t="shared" si="66"/>
        <v>27</v>
      </c>
      <c r="B250" s="8"/>
      <c r="C250" s="8" t="s">
        <v>232</v>
      </c>
      <c r="D250" s="8"/>
      <c r="E250" s="23" t="s">
        <v>233</v>
      </c>
      <c r="F250" s="15"/>
      <c r="G250" s="24">
        <v>6953560.04</v>
      </c>
      <c r="I250" s="24">
        <f>-319364-4301</f>
        <v>-323665</v>
      </c>
      <c r="K250" s="24">
        <f t="shared" si="67"/>
        <v>6629895.04</v>
      </c>
      <c r="M250" s="24"/>
      <c r="N250" s="24"/>
      <c r="O250" s="24">
        <v>0</v>
      </c>
      <c r="P250" s="24"/>
      <c r="Q250" s="24">
        <v>53887.07</v>
      </c>
      <c r="R250" s="24"/>
      <c r="S250" s="24">
        <f t="shared" si="63"/>
        <v>53887.07</v>
      </c>
      <c r="T250" s="24"/>
      <c r="U250" s="24"/>
      <c r="V250" s="24">
        <f>+K250+S250</f>
        <v>6683782.1100000003</v>
      </c>
      <c r="W250" s="24"/>
      <c r="X250" s="24">
        <v>0</v>
      </c>
      <c r="Y250" s="24"/>
      <c r="Z250" s="24">
        <v>0</v>
      </c>
      <c r="AA250" s="24"/>
      <c r="AB250" s="24">
        <v>0</v>
      </c>
      <c r="AC250" s="24"/>
      <c r="AD250" s="24">
        <f t="shared" ref="AD250:AD254" si="73">+V250+X250+Z250+AB250</f>
        <v>6683782.1100000003</v>
      </c>
    </row>
    <row r="251" spans="1:30">
      <c r="A251" s="8">
        <f t="shared" si="66"/>
        <v>28</v>
      </c>
      <c r="B251" s="8"/>
      <c r="C251" s="8" t="s">
        <v>234</v>
      </c>
      <c r="D251" s="8"/>
      <c r="E251" s="23" t="s">
        <v>235</v>
      </c>
      <c r="F251" s="15"/>
      <c r="G251" s="24">
        <v>0</v>
      </c>
      <c r="I251" s="24">
        <v>0</v>
      </c>
      <c r="K251" s="24">
        <f t="shared" si="67"/>
        <v>0</v>
      </c>
      <c r="M251" s="24"/>
      <c r="N251" s="24"/>
      <c r="O251" s="24">
        <v>0</v>
      </c>
      <c r="P251" s="24"/>
      <c r="Q251" s="24">
        <v>0</v>
      </c>
      <c r="R251" s="24"/>
      <c r="S251" s="24">
        <f t="shared" si="63"/>
        <v>0</v>
      </c>
      <c r="T251" s="24"/>
      <c r="U251" s="24"/>
      <c r="V251" s="24">
        <f t="shared" si="64"/>
        <v>0</v>
      </c>
      <c r="W251" s="24"/>
      <c r="X251" s="24">
        <v>0</v>
      </c>
      <c r="Y251" s="24"/>
      <c r="Z251" s="24">
        <v>0</v>
      </c>
      <c r="AA251" s="24"/>
      <c r="AB251" s="24">
        <v>0</v>
      </c>
      <c r="AC251" s="24"/>
      <c r="AD251" s="24">
        <f t="shared" si="73"/>
        <v>0</v>
      </c>
    </row>
    <row r="252" spans="1:30">
      <c r="A252" s="8">
        <f t="shared" si="66"/>
        <v>29</v>
      </c>
      <c r="B252" s="8"/>
      <c r="C252" s="8" t="s">
        <v>236</v>
      </c>
      <c r="D252" s="8"/>
      <c r="E252" s="23" t="s">
        <v>237</v>
      </c>
      <c r="F252" s="15"/>
      <c r="G252" s="24">
        <v>133441.69</v>
      </c>
      <c r="I252" s="24">
        <v>-133441.69</v>
      </c>
      <c r="K252" s="24">
        <f t="shared" si="67"/>
        <v>0</v>
      </c>
      <c r="M252" s="24"/>
      <c r="N252" s="24"/>
      <c r="O252" s="24">
        <v>0</v>
      </c>
      <c r="P252" s="24"/>
      <c r="Q252" s="24">
        <v>0</v>
      </c>
      <c r="R252" s="24"/>
      <c r="S252" s="24">
        <f t="shared" si="63"/>
        <v>0</v>
      </c>
      <c r="T252" s="24"/>
      <c r="U252" s="24"/>
      <c r="V252" s="24">
        <f t="shared" si="64"/>
        <v>0</v>
      </c>
      <c r="W252" s="24"/>
      <c r="X252" s="24">
        <v>0</v>
      </c>
      <c r="Y252" s="24"/>
      <c r="Z252" s="24">
        <v>0</v>
      </c>
      <c r="AA252" s="24"/>
      <c r="AB252" s="24">
        <v>0</v>
      </c>
      <c r="AC252" s="24"/>
      <c r="AD252" s="24">
        <f t="shared" si="73"/>
        <v>0</v>
      </c>
    </row>
    <row r="253" spans="1:30">
      <c r="A253" s="8">
        <f t="shared" si="66"/>
        <v>30</v>
      </c>
      <c r="B253" s="8"/>
      <c r="C253" s="8" t="s">
        <v>238</v>
      </c>
      <c r="D253" s="8"/>
      <c r="E253" s="23" t="s">
        <v>239</v>
      </c>
      <c r="F253" s="15"/>
      <c r="G253" s="24">
        <v>4681624.96</v>
      </c>
      <c r="I253" s="24">
        <f>-373577+233-86828</f>
        <v>-460172</v>
      </c>
      <c r="K253" s="24">
        <f t="shared" si="67"/>
        <v>4221452.96</v>
      </c>
      <c r="M253" s="24"/>
      <c r="N253" s="24"/>
      <c r="O253" s="24">
        <v>0</v>
      </c>
      <c r="P253" s="24"/>
      <c r="Q253" s="24">
        <v>798</v>
      </c>
      <c r="R253" s="24"/>
      <c r="S253" s="24">
        <f t="shared" si="63"/>
        <v>798</v>
      </c>
      <c r="T253" s="24"/>
      <c r="U253" s="24"/>
      <c r="V253" s="24">
        <f t="shared" si="64"/>
        <v>4222250.96</v>
      </c>
      <c r="W253" s="24"/>
      <c r="X253" s="24">
        <v>0</v>
      </c>
      <c r="Y253" s="24"/>
      <c r="Z253" s="24">
        <v>6231</v>
      </c>
      <c r="AA253" s="24"/>
      <c r="AB253" s="24">
        <v>0</v>
      </c>
      <c r="AC253" s="24"/>
      <c r="AD253" s="24">
        <f t="shared" si="73"/>
        <v>4228481.96</v>
      </c>
    </row>
    <row r="254" spans="1:30">
      <c r="A254" s="8">
        <f t="shared" si="66"/>
        <v>31</v>
      </c>
      <c r="B254" s="8"/>
      <c r="C254" s="8" t="s">
        <v>240</v>
      </c>
      <c r="D254" s="8"/>
      <c r="E254" s="23" t="s">
        <v>90</v>
      </c>
      <c r="F254" s="15"/>
      <c r="G254" s="27">
        <v>0</v>
      </c>
      <c r="I254" s="27">
        <v>0</v>
      </c>
      <c r="K254" s="27">
        <f t="shared" si="67"/>
        <v>0</v>
      </c>
      <c r="M254" s="24"/>
      <c r="N254" s="24"/>
      <c r="O254" s="27">
        <v>0</v>
      </c>
      <c r="P254" s="24"/>
      <c r="Q254" s="27">
        <v>0</v>
      </c>
      <c r="R254" s="24"/>
      <c r="S254" s="27">
        <f t="shared" si="63"/>
        <v>0</v>
      </c>
      <c r="T254" s="24"/>
      <c r="U254" s="24"/>
      <c r="V254" s="27">
        <f t="shared" si="64"/>
        <v>0</v>
      </c>
      <c r="W254" s="24"/>
      <c r="X254" s="27">
        <v>0</v>
      </c>
      <c r="Y254" s="24"/>
      <c r="Z254" s="27">
        <v>0</v>
      </c>
      <c r="AA254" s="24"/>
      <c r="AB254" s="27">
        <v>0</v>
      </c>
      <c r="AC254" s="24"/>
      <c r="AD254" s="27">
        <f t="shared" si="73"/>
        <v>0</v>
      </c>
    </row>
    <row r="255" spans="1:30">
      <c r="A255" s="8"/>
      <c r="E255" s="52"/>
      <c r="G255" s="24"/>
      <c r="I255" s="24"/>
      <c r="K255" s="24"/>
      <c r="M255" s="24"/>
      <c r="N255" s="24"/>
      <c r="O255" s="24"/>
      <c r="P255" s="24"/>
      <c r="Q255" s="24"/>
      <c r="V255" s="24"/>
      <c r="W255" s="24"/>
      <c r="X255" s="24"/>
      <c r="Y255" s="24"/>
      <c r="Z255" s="24"/>
      <c r="AB255" s="24"/>
      <c r="AD255" s="24"/>
    </row>
    <row r="256" spans="1:30">
      <c r="A256" s="8">
        <f>A254+1</f>
        <v>32</v>
      </c>
      <c r="B256" s="8"/>
      <c r="C256" s="233" t="s">
        <v>91</v>
      </c>
      <c r="D256" s="233"/>
      <c r="E256" s="233"/>
      <c r="F256" s="15"/>
      <c r="G256" s="27">
        <f>SUM(G238:G255)</f>
        <v>204249895.38000003</v>
      </c>
      <c r="I256" s="27">
        <f>SUM(I238:I255)</f>
        <v>-25682955.190000001</v>
      </c>
      <c r="K256" s="27">
        <f>SUM(K238:K255)</f>
        <v>178566940.19</v>
      </c>
      <c r="M256" s="24"/>
      <c r="N256" s="24"/>
      <c r="O256" s="27">
        <f>SUM(O238:O255)</f>
        <v>0</v>
      </c>
      <c r="P256" s="24"/>
      <c r="Q256" s="27">
        <f>SUM(Q238:Q255)</f>
        <v>17318935.550000001</v>
      </c>
      <c r="S256" s="27">
        <f>SUM(S238:S255)</f>
        <v>17318935.550000001</v>
      </c>
      <c r="T256" s="24"/>
      <c r="V256" s="27">
        <f>SUM(V238:V255)</f>
        <v>195885875.74000004</v>
      </c>
      <c r="W256" s="24"/>
      <c r="X256" s="27">
        <f>SUM(X238:X255)</f>
        <v>0</v>
      </c>
      <c r="Y256" s="24"/>
      <c r="Z256" s="27">
        <f>SUM(Z238:Z255)</f>
        <v>3290653</v>
      </c>
      <c r="AB256" s="27">
        <f>SUM(AB238:AB255)</f>
        <v>0</v>
      </c>
      <c r="AD256" s="27">
        <f>SUM(AD238:AD255)</f>
        <v>199176528.74000004</v>
      </c>
    </row>
    <row r="257" spans="1:30">
      <c r="A257" s="8"/>
      <c r="G257" s="24"/>
      <c r="I257" s="24"/>
      <c r="K257" s="24"/>
      <c r="M257" s="24"/>
      <c r="N257" s="24"/>
      <c r="O257" s="24"/>
      <c r="P257" s="24"/>
      <c r="Q257" s="24"/>
      <c r="V257" s="24"/>
      <c r="W257" s="24"/>
      <c r="X257" s="24"/>
      <c r="Y257" s="24"/>
      <c r="Z257" s="24"/>
      <c r="AB257" s="24"/>
      <c r="AD257" s="24"/>
    </row>
    <row r="258" spans="1:30">
      <c r="A258" s="8"/>
      <c r="C258" s="21" t="s">
        <v>93</v>
      </c>
      <c r="D258" s="21"/>
      <c r="G258" s="24"/>
      <c r="I258" s="24"/>
      <c r="K258" s="24"/>
      <c r="M258" s="24"/>
      <c r="N258" s="24"/>
      <c r="O258" s="24"/>
      <c r="P258" s="24"/>
      <c r="Q258" s="24"/>
      <c r="V258" s="24"/>
      <c r="W258" s="24"/>
      <c r="X258" s="24"/>
      <c r="Y258" s="24"/>
      <c r="Z258" s="24"/>
      <c r="AB258" s="24"/>
      <c r="AD258" s="24"/>
    </row>
    <row r="259" spans="1:30">
      <c r="A259" s="8">
        <f>A256+1</f>
        <v>33</v>
      </c>
      <c r="B259" s="8"/>
      <c r="C259" s="8">
        <v>935</v>
      </c>
      <c r="D259" s="8"/>
      <c r="E259" s="23" t="s">
        <v>241</v>
      </c>
      <c r="F259" s="15"/>
      <c r="G259" s="27">
        <v>7588454</v>
      </c>
      <c r="I259" s="27">
        <v>-7342</v>
      </c>
      <c r="K259" s="27">
        <f>SUM(G259:J259)</f>
        <v>7581112</v>
      </c>
      <c r="M259" s="24"/>
      <c r="N259" s="24"/>
      <c r="O259" s="27">
        <v>0</v>
      </c>
      <c r="P259" s="24"/>
      <c r="Q259" s="27">
        <v>7645</v>
      </c>
      <c r="R259" s="24"/>
      <c r="S259" s="27">
        <f>+M259+Q259</f>
        <v>7645</v>
      </c>
      <c r="T259" s="24"/>
      <c r="U259" s="24"/>
      <c r="V259" s="27">
        <f>+K259+S259</f>
        <v>7588757</v>
      </c>
      <c r="W259" s="24"/>
      <c r="X259" s="27">
        <v>0</v>
      </c>
      <c r="Y259" s="24"/>
      <c r="Z259" s="27">
        <v>59658</v>
      </c>
      <c r="AA259" s="24"/>
      <c r="AB259" s="27">
        <v>0</v>
      </c>
      <c r="AC259" s="24"/>
      <c r="AD259" s="27">
        <f t="shared" ref="AD259" si="74">+V259+X259+Z259+AB259</f>
        <v>7648415</v>
      </c>
    </row>
    <row r="260" spans="1:30">
      <c r="A260" s="8"/>
      <c r="G260" s="24"/>
      <c r="I260" s="24"/>
      <c r="K260" s="24"/>
      <c r="M260" s="24"/>
      <c r="N260" s="24"/>
      <c r="O260" s="24"/>
      <c r="P260" s="24"/>
      <c r="Q260" s="24"/>
      <c r="V260" s="24"/>
      <c r="W260" s="24"/>
      <c r="X260" s="24"/>
      <c r="Y260" s="24"/>
      <c r="Z260" s="24"/>
      <c r="AB260" s="24"/>
      <c r="AD260" s="24"/>
    </row>
    <row r="261" spans="1:30">
      <c r="A261" s="8">
        <f>A259+1</f>
        <v>34</v>
      </c>
      <c r="B261" s="8"/>
      <c r="C261" s="233" t="s">
        <v>104</v>
      </c>
      <c r="D261" s="233"/>
      <c r="E261" s="233"/>
      <c r="F261" s="15"/>
      <c r="G261" s="27">
        <f>SUM(G259:G260)</f>
        <v>7588454</v>
      </c>
      <c r="I261" s="27">
        <f>SUM(I259:I260)</f>
        <v>-7342</v>
      </c>
      <c r="K261" s="27">
        <f>SUM(K259:K260)</f>
        <v>7581112</v>
      </c>
      <c r="M261" s="24"/>
      <c r="N261" s="24"/>
      <c r="O261" s="27">
        <f>SUM(O259:O260)</f>
        <v>0</v>
      </c>
      <c r="P261" s="24"/>
      <c r="Q261" s="27">
        <f>SUM(Q259:Q260)</f>
        <v>7645</v>
      </c>
      <c r="S261" s="27">
        <f>SUM(S259:S260)</f>
        <v>7645</v>
      </c>
      <c r="T261" s="24"/>
      <c r="V261" s="27">
        <f>SUM(V259:V260)</f>
        <v>7588757</v>
      </c>
      <c r="W261" s="24"/>
      <c r="X261" s="27">
        <f>SUM(X259:X260)</f>
        <v>0</v>
      </c>
      <c r="Y261" s="24"/>
      <c r="Z261" s="27">
        <f>SUM(Z259:Z260)</f>
        <v>59658</v>
      </c>
      <c r="AB261" s="27">
        <f>SUM(AB259:AB260)</f>
        <v>0</v>
      </c>
      <c r="AD261" s="27">
        <f>SUM(AD259:AD260)</f>
        <v>7648415</v>
      </c>
    </row>
    <row r="262" spans="1:30">
      <c r="A262" s="8"/>
      <c r="F262" s="15"/>
      <c r="G262" s="24"/>
      <c r="I262" s="24"/>
      <c r="K262" s="24"/>
      <c r="M262" s="24"/>
      <c r="N262" s="24"/>
      <c r="O262" s="24"/>
      <c r="P262" s="24"/>
      <c r="Q262" s="24"/>
      <c r="S262" s="24"/>
      <c r="T262" s="24"/>
      <c r="V262" s="24"/>
      <c r="W262" s="24"/>
      <c r="X262" s="24"/>
      <c r="Y262" s="24"/>
      <c r="Z262" s="24"/>
      <c r="AB262" s="24"/>
      <c r="AD262" s="24"/>
    </row>
    <row r="263" spans="1:30">
      <c r="A263" s="8"/>
      <c r="C263" s="21" t="s">
        <v>242</v>
      </c>
      <c r="D263" s="21"/>
      <c r="F263" s="15"/>
      <c r="G263" s="24"/>
      <c r="I263" s="24"/>
      <c r="K263" s="24"/>
      <c r="M263" s="24"/>
      <c r="N263" s="24"/>
      <c r="O263" s="24"/>
      <c r="P263" s="24"/>
      <c r="Q263" s="24"/>
      <c r="S263" s="24"/>
      <c r="T263" s="24"/>
      <c r="V263" s="24"/>
      <c r="W263" s="24"/>
      <c r="X263" s="24"/>
      <c r="Y263" s="24"/>
      <c r="Z263" s="24"/>
      <c r="AB263" s="24"/>
      <c r="AD263" s="24"/>
    </row>
    <row r="264" spans="1:30">
      <c r="A264" s="8">
        <f>A261+1</f>
        <v>35</v>
      </c>
      <c r="B264" s="8"/>
      <c r="C264" s="233" t="s">
        <v>243</v>
      </c>
      <c r="D264" s="233"/>
      <c r="E264" s="233"/>
      <c r="F264" s="15"/>
      <c r="G264" s="27">
        <f>+G261+G256</f>
        <v>211838349.38000003</v>
      </c>
      <c r="I264" s="27">
        <f>+I261+I256</f>
        <v>-25690297.190000001</v>
      </c>
      <c r="K264" s="27">
        <f>+K261+K256</f>
        <v>186148052.19</v>
      </c>
      <c r="M264" s="24"/>
      <c r="N264" s="24"/>
      <c r="O264" s="27">
        <f>+O261+O256</f>
        <v>0</v>
      </c>
      <c r="P264" s="24"/>
      <c r="Q264" s="27">
        <f>+Q261+Q256</f>
        <v>17326580.550000001</v>
      </c>
      <c r="S264" s="27">
        <f>+S261+S256</f>
        <v>17326580.550000001</v>
      </c>
      <c r="T264" s="24"/>
      <c r="V264" s="27">
        <f>+V261+V256</f>
        <v>203474632.74000004</v>
      </c>
      <c r="W264" s="24"/>
      <c r="X264" s="27">
        <f>+X261+X256</f>
        <v>0</v>
      </c>
      <c r="Y264" s="24"/>
      <c r="Z264" s="27">
        <f>+Z261+Z256</f>
        <v>3350311</v>
      </c>
      <c r="AB264" s="27">
        <f>+AB261+AB256</f>
        <v>0</v>
      </c>
      <c r="AD264" s="27">
        <f>+AD261+AD256</f>
        <v>206824943.74000004</v>
      </c>
    </row>
    <row r="265" spans="1:30">
      <c r="A265" s="8"/>
      <c r="F265" s="15"/>
      <c r="G265" s="24"/>
      <c r="I265" s="24"/>
      <c r="K265" s="24"/>
      <c r="M265" s="24"/>
      <c r="N265" s="24"/>
      <c r="O265" s="24"/>
      <c r="P265" s="24"/>
      <c r="Q265" s="24"/>
      <c r="S265" s="24"/>
      <c r="T265" s="24"/>
      <c r="V265" s="24"/>
      <c r="W265" s="24"/>
      <c r="X265" s="24"/>
      <c r="Y265" s="24"/>
      <c r="Z265" s="24"/>
      <c r="AB265" s="24"/>
      <c r="AD265" s="24"/>
    </row>
    <row r="266" spans="1:30">
      <c r="A266" s="8"/>
      <c r="C266" s="21" t="s">
        <v>244</v>
      </c>
      <c r="D266" s="21"/>
      <c r="F266" s="15"/>
      <c r="G266" s="24"/>
      <c r="I266" s="24"/>
      <c r="K266" s="24"/>
      <c r="M266" s="24"/>
      <c r="N266" s="24"/>
      <c r="O266" s="24"/>
      <c r="P266" s="24"/>
      <c r="Q266" s="24"/>
      <c r="S266" s="24"/>
      <c r="T266" s="24"/>
      <c r="V266" s="24"/>
      <c r="W266" s="24"/>
      <c r="X266" s="24"/>
      <c r="Y266" s="24"/>
      <c r="Z266" s="24"/>
      <c r="AB266" s="24"/>
      <c r="AD266" s="24"/>
    </row>
    <row r="267" spans="1:30" ht="13.5" thickBot="1">
      <c r="A267" s="8">
        <f>A264+1</f>
        <v>36</v>
      </c>
      <c r="B267" s="8"/>
      <c r="C267" s="233" t="s">
        <v>245</v>
      </c>
      <c r="D267" s="233"/>
      <c r="E267" s="233"/>
      <c r="F267" s="49"/>
      <c r="G267" s="42">
        <f>+G264+G234+G221+G202+G132+G99+G163+G150</f>
        <v>479835946.42000002</v>
      </c>
      <c r="I267" s="42">
        <f>+I264+I234+I221+I202+I132+I99+I163+I150</f>
        <v>-57272624.590000004</v>
      </c>
      <c r="K267" s="42">
        <f>+K264+K234+K221+K202+K132+K99+K163+K150</f>
        <v>422563321.82999998</v>
      </c>
      <c r="M267" s="19"/>
      <c r="N267" s="19"/>
      <c r="O267" s="42">
        <f>+O264+O234+O221+O202+O132+O99</f>
        <v>0</v>
      </c>
      <c r="P267" s="19"/>
      <c r="Q267" s="42">
        <f>+Q264+Q234+Q221+Q202+Q132+Q99+Q163+Q150</f>
        <v>32477237.359999999</v>
      </c>
      <c r="S267" s="42">
        <f>+S264+S234+S221+S202+S132+S99+S163+S150</f>
        <v>32477237.359999999</v>
      </c>
      <c r="T267" s="53" t="s">
        <v>246</v>
      </c>
      <c r="V267" s="42">
        <f>+V264+V234+V221+V202+V132+V99+V163+V150</f>
        <v>455040559.19</v>
      </c>
      <c r="W267" s="19"/>
      <c r="X267" s="42">
        <f>+X264+X234+X221+X202+X132+X99</f>
        <v>0</v>
      </c>
      <c r="Y267" s="19"/>
      <c r="Z267" s="42">
        <f>+Z264+Z234+Z221+Z202+Z132+Z99+Z163+Z150</f>
        <v>8123919</v>
      </c>
      <c r="AB267" s="42">
        <f>+AB264+AB234+AB221+AB202+AB132+AB99</f>
        <v>0</v>
      </c>
      <c r="AD267" s="42">
        <f>+AD264+AD234+AD221+AD202+AD132+AD99+AD163+AD150</f>
        <v>463164478.19</v>
      </c>
    </row>
    <row r="268" spans="1:30" ht="13.5" thickTop="1">
      <c r="A268" s="8"/>
      <c r="G268" s="24"/>
      <c r="I268" s="24"/>
      <c r="K268" s="24"/>
      <c r="M268" s="24"/>
      <c r="N268" s="24"/>
      <c r="O268" s="24"/>
      <c r="P268" s="24"/>
      <c r="Q268" s="24"/>
      <c r="V268" s="24"/>
      <c r="W268" s="24"/>
      <c r="X268" s="24"/>
      <c r="Y268" s="24"/>
      <c r="Z268" s="24"/>
      <c r="AB268" s="24"/>
      <c r="AD268" s="24"/>
    </row>
    <row r="269" spans="1:30">
      <c r="A269" s="8"/>
      <c r="B269" s="8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</row>
    <row r="270" spans="1:30">
      <c r="A270" s="8"/>
      <c r="B270" s="8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</row>
    <row r="271" spans="1:30">
      <c r="A271" s="8"/>
      <c r="B271" s="8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</row>
    <row r="272" spans="1:30">
      <c r="A272" s="8"/>
      <c r="B272" s="8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</row>
    <row r="273" spans="1:30">
      <c r="A273" s="8"/>
      <c r="B273" s="8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</row>
    <row r="274" spans="1:30">
      <c r="A274" s="8"/>
      <c r="B274" s="8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</row>
    <row r="275" spans="1:30">
      <c r="A275" s="8"/>
      <c r="B275" s="8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</row>
    <row r="276" spans="1:30">
      <c r="A276" s="8"/>
      <c r="B276" s="8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</row>
    <row r="277" spans="1:30">
      <c r="A277" s="8"/>
      <c r="B277" s="8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</row>
    <row r="278" spans="1:30">
      <c r="A278" s="8"/>
      <c r="B278" s="8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</row>
    <row r="279" spans="1:30">
      <c r="A279" s="8"/>
      <c r="B279" s="8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</row>
    <row r="280" spans="1:30">
      <c r="A280" s="8"/>
      <c r="B280" s="8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</row>
    <row r="281" spans="1:30">
      <c r="A281" s="8"/>
      <c r="B281" s="8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</row>
    <row r="282" spans="1:30">
      <c r="A282" s="8"/>
      <c r="B282" s="8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</row>
    <row r="283" spans="1:30">
      <c r="A283" s="8"/>
      <c r="B283" s="8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</row>
    <row r="284" spans="1:30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</row>
    <row r="285" spans="1:30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</row>
    <row r="286" spans="1:30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</row>
    <row r="287" spans="1:30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</row>
    <row r="288" spans="1:30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</row>
    <row r="289" spans="1:30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</row>
    <row r="290" spans="1:30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</row>
    <row r="291" spans="1:30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</row>
    <row r="292" spans="1:30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</row>
    <row r="293" spans="1:30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</row>
    <row r="294" spans="1:30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</row>
    <row r="295" spans="1:30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</row>
    <row r="296" spans="1:30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</row>
    <row r="297" spans="1:30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</row>
    <row r="298" spans="1:30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</row>
    <row r="299" spans="1:30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</row>
    <row r="300" spans="1:30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</row>
    <row r="301" spans="1:30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</row>
    <row r="302" spans="1:30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</row>
    <row r="303" spans="1:30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</row>
    <row r="304" spans="1:30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</row>
    <row r="305" spans="1:30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</row>
    <row r="306" spans="1:30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</row>
    <row r="307" spans="1:30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</row>
    <row r="308" spans="1:30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</row>
    <row r="309" spans="1:30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</row>
    <row r="310" spans="1:30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</row>
    <row r="311" spans="1:30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</row>
    <row r="312" spans="1:30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</row>
    <row r="313" spans="1:30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</row>
    <row r="314" spans="1:30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</row>
    <row r="315" spans="1:30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</row>
    <row r="316" spans="1:30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</row>
    <row r="317" spans="1:30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</row>
    <row r="318" spans="1:30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</row>
    <row r="319" spans="1:30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</row>
    <row r="320" spans="1:30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</row>
    <row r="321" spans="1:30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</row>
    <row r="322" spans="1:30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</row>
    <row r="323" spans="1:30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</row>
    <row r="324" spans="1:30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</row>
    <row r="325" spans="1:30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</row>
    <row r="326" spans="1:30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</row>
    <row r="327" spans="1:30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</row>
    <row r="328" spans="1:30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</row>
    <row r="329" spans="1:30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</row>
    <row r="330" spans="1:30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</row>
    <row r="331" spans="1:30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</row>
    <row r="332" spans="1:30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</row>
    <row r="333" spans="1:30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</row>
    <row r="334" spans="1:30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</row>
    <row r="335" spans="1:30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</row>
    <row r="336" spans="1:30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</row>
    <row r="337" spans="1:30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</row>
    <row r="338" spans="1:30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</row>
    <row r="339" spans="1:30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</row>
    <row r="340" spans="1:30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</row>
    <row r="341" spans="1:30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</row>
    <row r="342" spans="1:30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</row>
  </sheetData>
  <dataConsolidate/>
  <mergeCells count="52">
    <mergeCell ref="A1:AD1"/>
    <mergeCell ref="A2:AD2"/>
    <mergeCell ref="A3:AD3"/>
    <mergeCell ref="A68:AD68"/>
    <mergeCell ref="M8:Q8"/>
    <mergeCell ref="C30:E30"/>
    <mergeCell ref="C32:E32"/>
    <mergeCell ref="C21:E21"/>
    <mergeCell ref="C44:E44"/>
    <mergeCell ref="C53:E53"/>
    <mergeCell ref="C66:E66"/>
    <mergeCell ref="M74:Q74"/>
    <mergeCell ref="M107:Q107"/>
    <mergeCell ref="A69:AD69"/>
    <mergeCell ref="A103:AD103"/>
    <mergeCell ref="C85:E85"/>
    <mergeCell ref="C87:E87"/>
    <mergeCell ref="C97:E97"/>
    <mergeCell ref="C99:E99"/>
    <mergeCell ref="M210:Q210"/>
    <mergeCell ref="C148:E148"/>
    <mergeCell ref="C150:E150"/>
    <mergeCell ref="C156:E156"/>
    <mergeCell ref="C161:E161"/>
    <mergeCell ref="C163:E163"/>
    <mergeCell ref="A205:AD205"/>
    <mergeCell ref="A206:AD206"/>
    <mergeCell ref="A165:AD165"/>
    <mergeCell ref="A166:AD166"/>
    <mergeCell ref="A167:AD167"/>
    <mergeCell ref="M171:Q171"/>
    <mergeCell ref="A134:AD134"/>
    <mergeCell ref="A135:AD135"/>
    <mergeCell ref="A136:AD136"/>
    <mergeCell ref="M140:Q140"/>
    <mergeCell ref="A204:AD204"/>
    <mergeCell ref="C261:E261"/>
    <mergeCell ref="C264:E264"/>
    <mergeCell ref="C267:E267"/>
    <mergeCell ref="C55:E55"/>
    <mergeCell ref="C202:E202"/>
    <mergeCell ref="C221:E221"/>
    <mergeCell ref="C234:E234"/>
    <mergeCell ref="C256:E256"/>
    <mergeCell ref="C121:E121"/>
    <mergeCell ref="C130:E130"/>
    <mergeCell ref="C132:E132"/>
    <mergeCell ref="C187:E187"/>
    <mergeCell ref="C200:E200"/>
    <mergeCell ref="A70:AD70"/>
    <mergeCell ref="A101:AD101"/>
    <mergeCell ref="A102:AD102"/>
  </mergeCells>
  <phoneticPr fontId="0" type="noConversion"/>
  <printOptions horizontalCentered="1"/>
  <pageMargins left="1" right="1" top="1" bottom="1" header="0.3" footer="0.3"/>
  <pageSetup scale="13" fitToWidth="0" pageOrder="overThenDown" orientation="landscape" r:id="rId1"/>
  <headerFooter alignWithMargins="0">
    <oddFooter>&amp;R&amp;"Arial,Regular"Exhibit No. 18
Case No. IPC-E-25-16
P. Jeppsen, IPC
Page &amp;P of &amp;N</oddFooter>
  </headerFooter>
  <rowBreaks count="5" manualBreakCount="5">
    <brk id="67" max="29" man="1"/>
    <brk id="100" max="29" man="1"/>
    <brk id="133" max="16383" man="1"/>
    <brk id="164" max="29" man="1"/>
    <brk id="203" max="2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pageSetUpPr fitToPage="1"/>
  </sheetPr>
  <dimension ref="A1:AB41"/>
  <sheetViews>
    <sheetView tabSelected="1" zoomScale="80" zoomScaleNormal="80" workbookViewId="0">
      <pane xSplit="4" ySplit="11" topLeftCell="E12" activePane="bottomRight" state="frozen"/>
      <selection activeCell="C12" sqref="C12"/>
      <selection pane="topRight" activeCell="C12" sqref="C12"/>
      <selection pane="bottomLeft" activeCell="C12" sqref="C12"/>
      <selection pane="bottomRight" activeCell="C12" sqref="C12"/>
    </sheetView>
  </sheetViews>
  <sheetFormatPr defaultColWidth="9.75" defaultRowHeight="12.75"/>
  <cols>
    <col min="1" max="1" width="9.75" style="1" customWidth="1"/>
    <col min="2" max="2" width="2.75" style="1" customWidth="1"/>
    <col min="3" max="3" width="53.75" style="1" customWidth="1"/>
    <col min="4" max="4" width="1.375" style="1" customWidth="1"/>
    <col min="5" max="5" width="18.75" style="1" bestFit="1" customWidth="1"/>
    <col min="6" max="6" width="1.375" style="1" customWidth="1"/>
    <col min="7" max="7" width="13.75" style="1" bestFit="1" customWidth="1"/>
    <col min="8" max="8" width="1.375" style="1" customWidth="1"/>
    <col min="9" max="9" width="16.375" style="1" customWidth="1"/>
    <col min="10" max="10" width="1" style="1" customWidth="1"/>
    <col min="11" max="11" width="9.875" style="1" customWidth="1"/>
    <col min="12" max="12" width="1.25" style="1" customWidth="1"/>
    <col min="13" max="13" width="11.25" style="1" hidden="1" customWidth="1"/>
    <col min="14" max="14" width="0.875" style="1" hidden="1" customWidth="1"/>
    <col min="15" max="15" width="11.375" style="1" customWidth="1"/>
    <col min="16" max="16" width="0.875" style="1" customWidth="1"/>
    <col min="17" max="17" width="11.5" style="1" bestFit="1" customWidth="1"/>
    <col min="18" max="18" width="3" style="1" customWidth="1"/>
    <col min="19" max="19" width="1.75" style="1" customWidth="1"/>
    <col min="20" max="20" width="16" style="1" customWidth="1"/>
    <col min="21" max="21" width="0.75" style="1" hidden="1" customWidth="1"/>
    <col min="22" max="22" width="14.875" style="1" hidden="1" customWidth="1"/>
    <col min="23" max="23" width="0.75" style="1" customWidth="1"/>
    <col min="24" max="24" width="13" style="1" bestFit="1" customWidth="1"/>
    <col min="25" max="25" width="1" style="1" customWidth="1"/>
    <col min="26" max="26" width="11.875" style="1" hidden="1" customWidth="1"/>
    <col min="27" max="27" width="1.125" style="1" hidden="1" customWidth="1"/>
    <col min="28" max="28" width="15.875" style="1" customWidth="1"/>
    <col min="29" max="16384" width="9.75" style="1"/>
  </cols>
  <sheetData>
    <row r="1" spans="1:28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</row>
    <row r="2" spans="1:28">
      <c r="A2" s="231" t="s">
        <v>69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">
        <v>247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28">
      <c r="A4" s="231" t="str">
        <f>+OthOpRev451_454_456!A3</f>
        <v>For Twelve Months Ended December 31, 2025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</row>
    <row r="5" spans="1:28">
      <c r="A5" s="47"/>
      <c r="B5" s="47"/>
      <c r="C5" s="47"/>
      <c r="D5" s="47"/>
      <c r="E5" s="47"/>
      <c r="K5" s="47"/>
      <c r="M5" s="47"/>
      <c r="N5" s="47"/>
    </row>
    <row r="6" spans="1:28">
      <c r="A6" s="47"/>
      <c r="B6" s="47"/>
      <c r="C6" s="47"/>
      <c r="D6" s="47"/>
      <c r="E6" s="47"/>
      <c r="K6" s="47"/>
      <c r="M6" s="47"/>
      <c r="N6" s="47"/>
    </row>
    <row r="8" spans="1:28">
      <c r="A8" s="2">
        <v>-1</v>
      </c>
      <c r="C8" s="2">
        <v>-2</v>
      </c>
      <c r="D8" s="2"/>
      <c r="E8" s="2">
        <v>-3</v>
      </c>
      <c r="F8" s="3"/>
      <c r="G8" s="2">
        <v>-4</v>
      </c>
      <c r="H8" s="2"/>
      <c r="I8" s="2">
        <v>-5</v>
      </c>
      <c r="J8" s="2"/>
      <c r="K8" s="2">
        <v>-6</v>
      </c>
      <c r="L8" s="2"/>
      <c r="M8" s="2">
        <v>-7</v>
      </c>
      <c r="N8" s="2"/>
      <c r="O8" s="2">
        <v>-7</v>
      </c>
      <c r="P8" s="2"/>
      <c r="Q8" s="2">
        <v>-8</v>
      </c>
      <c r="R8" s="2"/>
      <c r="S8" s="2"/>
      <c r="T8" s="2">
        <v>-9</v>
      </c>
      <c r="U8" s="2"/>
      <c r="V8" s="2">
        <v>-11</v>
      </c>
      <c r="X8" s="2">
        <v>-10</v>
      </c>
      <c r="Y8" s="4"/>
      <c r="Z8" s="2">
        <v>-13</v>
      </c>
      <c r="AA8" s="2"/>
      <c r="AB8" s="2">
        <v>-11</v>
      </c>
    </row>
    <row r="9" spans="1:28">
      <c r="E9" s="5"/>
      <c r="F9" s="3"/>
      <c r="G9" s="3"/>
      <c r="H9" s="3"/>
      <c r="J9" s="3"/>
      <c r="K9" s="232" t="s">
        <v>3</v>
      </c>
      <c r="L9" s="232"/>
      <c r="M9" s="232"/>
      <c r="N9" s="232"/>
      <c r="O9" s="232"/>
      <c r="P9" s="6"/>
      <c r="Q9" s="3"/>
      <c r="R9" s="3"/>
      <c r="S9" s="3"/>
      <c r="T9" s="7" t="s">
        <v>4</v>
      </c>
      <c r="U9" s="3"/>
      <c r="V9" s="3"/>
      <c r="W9" s="5"/>
      <c r="X9" s="5"/>
      <c r="Y9" s="5"/>
      <c r="AA9" s="5"/>
    </row>
    <row r="10" spans="1:28">
      <c r="A10" s="8" t="s">
        <v>5</v>
      </c>
      <c r="B10" s="8"/>
      <c r="E10" s="5">
        <v>2024</v>
      </c>
      <c r="F10" s="3"/>
      <c r="G10" s="5">
        <v>2024</v>
      </c>
      <c r="H10" s="3"/>
      <c r="I10" s="5">
        <v>2024</v>
      </c>
      <c r="J10" s="6"/>
      <c r="K10" s="5">
        <v>2024</v>
      </c>
      <c r="L10" s="6"/>
      <c r="M10" s="6" t="s">
        <v>6</v>
      </c>
      <c r="N10" s="6"/>
      <c r="O10" s="6"/>
      <c r="P10" s="6"/>
      <c r="Q10" s="6"/>
      <c r="R10" s="6" t="s">
        <v>7</v>
      </c>
      <c r="S10" s="6"/>
      <c r="T10" s="9" t="s">
        <v>8</v>
      </c>
      <c r="U10" s="6"/>
      <c r="V10" s="6"/>
      <c r="W10" s="6"/>
      <c r="X10" s="8"/>
      <c r="Y10" s="5"/>
      <c r="Z10" s="8" t="s">
        <v>9</v>
      </c>
      <c r="AA10" s="8"/>
      <c r="AB10" s="5" t="s">
        <v>4</v>
      </c>
    </row>
    <row r="11" spans="1:28" ht="12" customHeight="1">
      <c r="A11" s="10" t="s">
        <v>10</v>
      </c>
      <c r="B11" s="8"/>
      <c r="C11" s="10" t="s">
        <v>11</v>
      </c>
      <c r="E11" s="11" t="s">
        <v>12</v>
      </c>
      <c r="F11" s="3"/>
      <c r="G11" s="12" t="s">
        <v>13</v>
      </c>
      <c r="H11" s="6"/>
      <c r="I11" s="13" t="s">
        <v>14</v>
      </c>
      <c r="J11" s="6"/>
      <c r="K11" s="13" t="s">
        <v>14</v>
      </c>
      <c r="L11" s="6"/>
      <c r="M11" s="13" t="s">
        <v>15</v>
      </c>
      <c r="N11" s="6"/>
      <c r="O11" s="14" t="s">
        <v>16</v>
      </c>
      <c r="P11" s="9"/>
      <c r="Q11" s="13" t="s">
        <v>17</v>
      </c>
      <c r="R11" s="13" t="s">
        <v>10</v>
      </c>
      <c r="S11" s="6"/>
      <c r="T11" s="14" t="s">
        <v>18</v>
      </c>
      <c r="U11" s="6"/>
      <c r="V11" s="13" t="s">
        <v>19</v>
      </c>
      <c r="W11" s="6"/>
      <c r="X11" s="10" t="s">
        <v>20</v>
      </c>
      <c r="Y11" s="8"/>
      <c r="Z11" s="10" t="s">
        <v>21</v>
      </c>
      <c r="AA11" s="8"/>
      <c r="AB11" s="10" t="s">
        <v>18</v>
      </c>
    </row>
    <row r="13" spans="1:28">
      <c r="E13" s="15"/>
      <c r="K13" s="15"/>
      <c r="M13" s="15"/>
      <c r="N13" s="15"/>
      <c r="S13" s="55"/>
    </row>
    <row r="14" spans="1:28">
      <c r="C14" s="1" t="s">
        <v>248</v>
      </c>
      <c r="E14" s="15"/>
      <c r="K14" s="15"/>
      <c r="M14" s="15"/>
      <c r="N14" s="15"/>
      <c r="S14" s="55"/>
    </row>
    <row r="15" spans="1:28">
      <c r="E15" s="15"/>
      <c r="K15" s="15"/>
      <c r="M15" s="15"/>
      <c r="N15" s="15"/>
    </row>
    <row r="16" spans="1:28">
      <c r="A16" s="8" t="s">
        <v>249</v>
      </c>
      <c r="B16" s="8"/>
      <c r="C16" s="26" t="s">
        <v>250</v>
      </c>
      <c r="E16" s="56">
        <v>410394.73</v>
      </c>
      <c r="G16" s="19">
        <v>0</v>
      </c>
      <c r="I16" s="19">
        <f>SUM(E16:H16)</f>
        <v>410394.73</v>
      </c>
      <c r="K16" s="19"/>
      <c r="L16" s="19"/>
      <c r="M16" s="19">
        <v>0</v>
      </c>
      <c r="N16" s="19"/>
      <c r="O16" s="19">
        <v>0</v>
      </c>
      <c r="P16" s="19"/>
      <c r="Q16" s="19">
        <f>K16+O16</f>
        <v>0</v>
      </c>
      <c r="R16" s="19"/>
      <c r="S16" s="19"/>
      <c r="T16" s="19">
        <f>+I16+Q16</f>
        <v>410394.73</v>
      </c>
      <c r="U16" s="19"/>
      <c r="V16" s="19">
        <v>0</v>
      </c>
      <c r="W16" s="19"/>
      <c r="X16" s="19">
        <v>0</v>
      </c>
      <c r="Y16" s="19"/>
      <c r="Z16" s="19">
        <v>0</v>
      </c>
      <c r="AA16" s="19"/>
      <c r="AB16" s="19">
        <f>+T16+V16+X16+Z16</f>
        <v>410394.73</v>
      </c>
    </row>
    <row r="17" spans="1:28">
      <c r="E17" s="57"/>
      <c r="G17" s="24"/>
      <c r="I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B17" s="24"/>
    </row>
    <row r="18" spans="1:28">
      <c r="A18" s="8" t="s">
        <v>251</v>
      </c>
      <c r="B18" s="8"/>
      <c r="C18" s="26" t="s">
        <v>252</v>
      </c>
      <c r="E18" s="58">
        <v>0</v>
      </c>
      <c r="G18" s="24">
        <v>0</v>
      </c>
      <c r="I18" s="24">
        <f>SUM(E18:H18)</f>
        <v>0</v>
      </c>
      <c r="K18" s="19"/>
      <c r="L18" s="24"/>
      <c r="M18" s="24">
        <v>0</v>
      </c>
      <c r="N18" s="24"/>
      <c r="O18" s="24">
        <v>0</v>
      </c>
      <c r="P18" s="24"/>
      <c r="Q18" s="24">
        <f>K18+O18</f>
        <v>0</v>
      </c>
      <c r="R18" s="24"/>
      <c r="S18" s="24"/>
      <c r="T18" s="24">
        <f>+I18+Q18</f>
        <v>0</v>
      </c>
      <c r="U18" s="24"/>
      <c r="V18" s="24">
        <v>0</v>
      </c>
      <c r="W18" s="24"/>
      <c r="X18" s="24">
        <v>0</v>
      </c>
      <c r="Y18" s="24"/>
      <c r="Z18" s="24">
        <v>0</v>
      </c>
      <c r="AB18" s="24">
        <f t="shared" ref="AB18:AB20" si="0">+T18+V18+X18+Z18</f>
        <v>0</v>
      </c>
    </row>
    <row r="19" spans="1:28">
      <c r="E19" s="58"/>
      <c r="G19" s="24"/>
      <c r="I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B19" s="24"/>
    </row>
    <row r="20" spans="1:28">
      <c r="A20" s="8" t="s">
        <v>253</v>
      </c>
      <c r="B20" s="8"/>
      <c r="C20" s="26" t="s">
        <v>254</v>
      </c>
      <c r="E20" s="59">
        <v>80729.290000000008</v>
      </c>
      <c r="G20" s="27">
        <v>0</v>
      </c>
      <c r="I20" s="27">
        <f>SUM(E20:H20)</f>
        <v>80729.290000000008</v>
      </c>
      <c r="K20" s="19"/>
      <c r="L20" s="24"/>
      <c r="M20" s="27">
        <v>0</v>
      </c>
      <c r="N20" s="24"/>
      <c r="O20" s="27">
        <v>0</v>
      </c>
      <c r="P20" s="24"/>
      <c r="Q20" s="27">
        <f>K20+O20</f>
        <v>0</v>
      </c>
      <c r="R20" s="24"/>
      <c r="S20" s="24"/>
      <c r="T20" s="27">
        <f>+I20+Q20</f>
        <v>80729.290000000008</v>
      </c>
      <c r="U20" s="24"/>
      <c r="V20" s="27">
        <v>0</v>
      </c>
      <c r="W20" s="24"/>
      <c r="X20" s="27">
        <v>13474</v>
      </c>
      <c r="Y20" s="24"/>
      <c r="Z20" s="27">
        <v>0</v>
      </c>
      <c r="AB20" s="27">
        <f t="shared" si="0"/>
        <v>94203.290000000008</v>
      </c>
    </row>
    <row r="21" spans="1:28">
      <c r="E21" s="24"/>
      <c r="G21" s="24"/>
      <c r="I21" s="24"/>
      <c r="K21" s="25"/>
      <c r="M21" s="24"/>
      <c r="N21" s="24"/>
      <c r="O21" s="24"/>
      <c r="P21" s="24"/>
      <c r="Q21" s="55"/>
      <c r="R21" s="60"/>
      <c r="S21" s="55"/>
      <c r="T21" s="24"/>
      <c r="U21" s="24"/>
      <c r="V21" s="24"/>
      <c r="X21" s="24"/>
      <c r="Z21" s="24"/>
      <c r="AB21" s="24"/>
    </row>
    <row r="22" spans="1:28">
      <c r="A22" s="8" t="s">
        <v>255</v>
      </c>
      <c r="B22" s="8"/>
      <c r="C22" s="26" t="s">
        <v>256</v>
      </c>
      <c r="E22" s="24">
        <f>SUM(E16:E21)</f>
        <v>491124.02</v>
      </c>
      <c r="G22" s="24">
        <f>SUM(G16:G21)</f>
        <v>0</v>
      </c>
      <c r="I22" s="24">
        <f>SUM(I16:I21)</f>
        <v>491124.02</v>
      </c>
      <c r="K22" s="24"/>
      <c r="M22" s="24">
        <f>SUM(M16:M21)</f>
        <v>0</v>
      </c>
      <c r="N22" s="24"/>
      <c r="O22" s="24">
        <f>SUM(O16:O21)</f>
        <v>0</v>
      </c>
      <c r="P22" s="24"/>
      <c r="Q22" s="24">
        <f>SUM(Q16:Q21)</f>
        <v>0</v>
      </c>
      <c r="R22" s="24"/>
      <c r="S22" s="55"/>
      <c r="T22" s="24">
        <f>SUM(T16:T21)</f>
        <v>491124.02</v>
      </c>
      <c r="U22" s="24">
        <f>SUM(U16:U21)</f>
        <v>0</v>
      </c>
      <c r="V22" s="24">
        <f>SUM(V16:V21)</f>
        <v>0</v>
      </c>
      <c r="X22" s="24">
        <f>SUM(X16:X21)</f>
        <v>13474</v>
      </c>
      <c r="Z22" s="24">
        <f>SUM(Z16:Z21)</f>
        <v>0</v>
      </c>
      <c r="AB22" s="24">
        <f>SUM(AB16:AB21)</f>
        <v>504598.02</v>
      </c>
    </row>
    <row r="23" spans="1:28">
      <c r="E23" s="24"/>
      <c r="G23" s="24"/>
      <c r="I23" s="24"/>
      <c r="K23" s="25"/>
      <c r="M23" s="24"/>
      <c r="N23" s="24"/>
      <c r="O23" s="24"/>
      <c r="P23" s="24"/>
      <c r="Q23" s="55"/>
      <c r="R23" s="60"/>
      <c r="S23" s="55"/>
      <c r="T23" s="24"/>
      <c r="U23" s="24"/>
      <c r="V23" s="24"/>
      <c r="X23" s="24"/>
      <c r="Z23" s="24"/>
      <c r="AB23" s="24"/>
    </row>
    <row r="24" spans="1:28">
      <c r="E24" s="24"/>
      <c r="G24" s="24"/>
      <c r="I24" s="24"/>
      <c r="K24" s="25"/>
      <c r="M24" s="24"/>
      <c r="N24" s="24"/>
      <c r="O24" s="24"/>
      <c r="P24" s="24"/>
      <c r="Q24" s="55"/>
      <c r="R24" s="60"/>
      <c r="S24" s="55"/>
      <c r="T24" s="24"/>
      <c r="U24" s="24"/>
      <c r="V24" s="24"/>
      <c r="X24" s="24"/>
      <c r="Z24" s="24"/>
      <c r="AB24" s="24"/>
    </row>
    <row r="25" spans="1:28">
      <c r="C25" s="21" t="s">
        <v>257</v>
      </c>
      <c r="E25" s="24"/>
      <c r="G25" s="24"/>
      <c r="I25" s="24"/>
      <c r="K25" s="25"/>
      <c r="M25" s="24"/>
      <c r="N25" s="24"/>
      <c r="O25" s="24"/>
      <c r="P25" s="24"/>
      <c r="Q25" s="55"/>
      <c r="R25" s="60"/>
      <c r="S25" s="55"/>
      <c r="T25" s="24"/>
      <c r="U25" s="24"/>
      <c r="V25" s="24"/>
      <c r="X25" s="24"/>
      <c r="Z25" s="24"/>
      <c r="AB25" s="24"/>
    </row>
    <row r="26" spans="1:28">
      <c r="E26" s="24"/>
      <c r="G26" s="24"/>
      <c r="I26" s="24"/>
      <c r="K26" s="25"/>
      <c r="M26" s="24"/>
      <c r="N26" s="24"/>
      <c r="O26" s="24"/>
      <c r="P26" s="24"/>
      <c r="Q26" s="55"/>
      <c r="R26" s="60"/>
      <c r="S26" s="55"/>
      <c r="T26" s="24"/>
      <c r="U26" s="24"/>
      <c r="V26" s="24"/>
      <c r="X26" s="24"/>
      <c r="Z26" s="24"/>
      <c r="AB26" s="24"/>
    </row>
    <row r="27" spans="1:28">
      <c r="A27" s="8" t="s">
        <v>258</v>
      </c>
      <c r="B27" s="8"/>
      <c r="C27" s="26" t="s">
        <v>259</v>
      </c>
      <c r="E27" s="58">
        <v>47419.409999999989</v>
      </c>
      <c r="G27" s="24">
        <v>0</v>
      </c>
      <c r="I27" s="24">
        <f>SUM(E27:H27)</f>
        <v>47419.409999999989</v>
      </c>
      <c r="K27" s="19"/>
      <c r="L27" s="24"/>
      <c r="M27" s="24">
        <v>0</v>
      </c>
      <c r="N27" s="24"/>
      <c r="O27" s="24">
        <v>14400.6</v>
      </c>
      <c r="P27" s="24"/>
      <c r="Q27" s="24">
        <f>K27+O27</f>
        <v>14400.6</v>
      </c>
      <c r="R27" s="24"/>
      <c r="S27" s="24"/>
      <c r="T27" s="24">
        <f>+I27+Q27</f>
        <v>61820.009999999987</v>
      </c>
      <c r="U27" s="24"/>
      <c r="V27" s="24">
        <v>0</v>
      </c>
      <c r="W27" s="24"/>
      <c r="X27" s="24">
        <v>0</v>
      </c>
      <c r="Y27" s="24"/>
      <c r="Z27" s="24">
        <v>0</v>
      </c>
      <c r="AB27" s="24">
        <f>+T27+V27+X27+Z27</f>
        <v>61820.009999999987</v>
      </c>
    </row>
    <row r="28" spans="1:28">
      <c r="E28" s="58"/>
      <c r="G28" s="24"/>
      <c r="I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B28" s="24"/>
    </row>
    <row r="29" spans="1:28">
      <c r="A29" s="8" t="s">
        <v>260</v>
      </c>
      <c r="B29" s="8"/>
      <c r="C29" s="26" t="s">
        <v>261</v>
      </c>
      <c r="E29" s="58">
        <f>5085321-1228229</f>
        <v>3857092</v>
      </c>
      <c r="G29" s="24">
        <v>1228229</v>
      </c>
      <c r="I29" s="24">
        <f>SUM(E29:H29)</f>
        <v>5085321</v>
      </c>
      <c r="K29" s="19"/>
      <c r="L29" s="24"/>
      <c r="M29" s="24">
        <v>0</v>
      </c>
      <c r="N29" s="24"/>
      <c r="O29" s="24">
        <v>1544343.5</v>
      </c>
      <c r="P29" s="24"/>
      <c r="Q29" s="24">
        <f>K29+O29</f>
        <v>1544343.5</v>
      </c>
      <c r="R29" s="24"/>
      <c r="S29" s="24"/>
      <c r="T29" s="24">
        <f>+I29+Q29</f>
        <v>6629664.5</v>
      </c>
      <c r="U29" s="24"/>
      <c r="V29" s="24">
        <v>0</v>
      </c>
      <c r="W29" s="24"/>
      <c r="X29" s="24">
        <v>99135</v>
      </c>
      <c r="Y29" s="24"/>
      <c r="Z29" s="24">
        <v>0</v>
      </c>
      <c r="AB29" s="24">
        <f t="shared" ref="AB29" si="1">+T29+V29+X29+Z29</f>
        <v>6728799.5</v>
      </c>
    </row>
    <row r="30" spans="1:28">
      <c r="E30" s="58"/>
      <c r="G30" s="24"/>
      <c r="I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B30" s="24"/>
    </row>
    <row r="31" spans="1:28">
      <c r="A31" s="8" t="s">
        <v>262</v>
      </c>
      <c r="B31" s="8"/>
      <c r="C31" s="26" t="s">
        <v>263</v>
      </c>
      <c r="E31" s="59">
        <v>89717</v>
      </c>
      <c r="G31" s="27">
        <v>0</v>
      </c>
      <c r="I31" s="27">
        <f>SUM(E31:H31)</f>
        <v>89717</v>
      </c>
      <c r="K31" s="19"/>
      <c r="L31" s="24"/>
      <c r="M31" s="27">
        <v>0</v>
      </c>
      <c r="N31" s="24"/>
      <c r="O31" s="27">
        <v>27245.8</v>
      </c>
      <c r="P31" s="24"/>
      <c r="Q31" s="27">
        <f>K31+O31</f>
        <v>27245.8</v>
      </c>
      <c r="R31" s="24"/>
      <c r="S31" s="24"/>
      <c r="T31" s="27">
        <f>+I31+Q31</f>
        <v>116962.8</v>
      </c>
      <c r="U31" s="24"/>
      <c r="V31" s="27">
        <v>0</v>
      </c>
      <c r="W31" s="24"/>
      <c r="X31" s="27">
        <v>0</v>
      </c>
      <c r="Y31" s="24"/>
      <c r="Z31" s="27">
        <v>0</v>
      </c>
      <c r="AB31" s="27">
        <f t="shared" ref="AB31" si="2">+T31+V31+X31+Z31</f>
        <v>116962.8</v>
      </c>
    </row>
    <row r="32" spans="1:28">
      <c r="E32" s="24"/>
      <c r="G32" s="24"/>
      <c r="I32" s="24"/>
      <c r="K32" s="24"/>
      <c r="M32" s="24"/>
      <c r="N32" s="24"/>
      <c r="O32" s="24"/>
      <c r="P32" s="24"/>
      <c r="S32" s="55"/>
      <c r="T32" s="24"/>
      <c r="U32" s="24"/>
      <c r="V32" s="24"/>
      <c r="X32" s="24"/>
      <c r="Z32" s="24"/>
      <c r="AB32" s="24"/>
    </row>
    <row r="33" spans="1:28">
      <c r="A33" s="8" t="s">
        <v>264</v>
      </c>
      <c r="B33" s="8"/>
      <c r="C33" s="26" t="s">
        <v>265</v>
      </c>
      <c r="E33" s="27">
        <f>SUM(E27:E32)</f>
        <v>3994228.41</v>
      </c>
      <c r="G33" s="27">
        <f>SUM(G27:G31)</f>
        <v>1228229</v>
      </c>
      <c r="I33" s="27">
        <f>SUM(I27:I31)</f>
        <v>5222457.41</v>
      </c>
      <c r="K33" s="24"/>
      <c r="M33" s="27">
        <f>SUM(M27:M31)</f>
        <v>0</v>
      </c>
      <c r="N33" s="24"/>
      <c r="O33" s="27">
        <f>SUM(O27:O31)</f>
        <v>1585989.9000000001</v>
      </c>
      <c r="P33" s="24"/>
      <c r="Q33" s="27">
        <f>SUM(Q27:Q31)</f>
        <v>1585989.9000000001</v>
      </c>
      <c r="R33" s="24"/>
      <c r="S33" s="55"/>
      <c r="T33" s="27">
        <f>SUM(T27:T31)</f>
        <v>6808447.3099999996</v>
      </c>
      <c r="U33" s="24">
        <f>SUM(U27:U31)</f>
        <v>0</v>
      </c>
      <c r="V33" s="27">
        <f>SUM(V27:V31)</f>
        <v>0</v>
      </c>
      <c r="X33" s="27">
        <f>SUM(X27:X31)</f>
        <v>99135</v>
      </c>
      <c r="Z33" s="27">
        <f>SUM(Z27:Z31)</f>
        <v>0</v>
      </c>
      <c r="AB33" s="27">
        <f>SUM(AB27:AB31)</f>
        <v>6907582.3099999996</v>
      </c>
    </row>
    <row r="34" spans="1:28">
      <c r="E34" s="15"/>
      <c r="G34" s="24"/>
      <c r="I34" s="24"/>
      <c r="K34" s="24"/>
      <c r="M34" s="24"/>
      <c r="N34" s="24"/>
      <c r="O34" s="24"/>
      <c r="P34" s="24"/>
      <c r="Q34" s="24"/>
      <c r="R34" s="24"/>
      <c r="S34" s="55"/>
      <c r="T34" s="24"/>
      <c r="U34" s="24"/>
      <c r="V34" s="24"/>
      <c r="X34" s="24"/>
      <c r="Z34" s="24"/>
      <c r="AB34" s="24"/>
    </row>
    <row r="35" spans="1:28" ht="18.75" thickBot="1">
      <c r="A35" s="8" t="s">
        <v>266</v>
      </c>
      <c r="B35" s="8"/>
      <c r="C35" s="26" t="s">
        <v>267</v>
      </c>
      <c r="E35" s="42">
        <f>E22+E33</f>
        <v>4485352.43</v>
      </c>
      <c r="G35" s="42">
        <f>G22+G33</f>
        <v>1228229</v>
      </c>
      <c r="I35" s="42">
        <f>I22+I33</f>
        <v>5713581.4299999997</v>
      </c>
      <c r="K35" s="19"/>
      <c r="M35" s="42">
        <f>M22+M33</f>
        <v>0</v>
      </c>
      <c r="N35" s="19"/>
      <c r="O35" s="42">
        <f>O22+O33</f>
        <v>1585989.9000000001</v>
      </c>
      <c r="P35" s="19"/>
      <c r="Q35" s="42">
        <f>Q22+Q33</f>
        <v>1585989.9000000001</v>
      </c>
      <c r="R35" s="31" t="s">
        <v>246</v>
      </c>
      <c r="S35" s="55"/>
      <c r="T35" s="42">
        <f>T22+T33</f>
        <v>7299571.3300000001</v>
      </c>
      <c r="U35" s="19">
        <f>U22+U33</f>
        <v>0</v>
      </c>
      <c r="V35" s="42">
        <f>V22+V33</f>
        <v>0</v>
      </c>
      <c r="X35" s="42">
        <f>X22+X33</f>
        <v>112609</v>
      </c>
      <c r="Z35" s="42">
        <f>Z22+Z33</f>
        <v>0</v>
      </c>
      <c r="AB35" s="42">
        <f>AB22+AB33</f>
        <v>7412180.3300000001</v>
      </c>
    </row>
    <row r="36" spans="1:28" ht="13.5" thickTop="1">
      <c r="E36" s="24"/>
      <c r="G36" s="24"/>
      <c r="S36" s="61"/>
    </row>
    <row r="37" spans="1:28">
      <c r="A37" s="21"/>
      <c r="C37" s="1" t="s">
        <v>268</v>
      </c>
      <c r="E37" s="58">
        <v>562358</v>
      </c>
      <c r="I37" s="58">
        <v>562358.49</v>
      </c>
      <c r="O37" s="24">
        <v>2589</v>
      </c>
      <c r="Q37" s="24">
        <f>K37+O37</f>
        <v>2589</v>
      </c>
      <c r="T37" s="24">
        <f>I37+Q37</f>
        <v>564947.49</v>
      </c>
      <c r="X37" s="24">
        <v>20204</v>
      </c>
      <c r="AB37" s="24">
        <f>SUM(T37:AA37)</f>
        <v>585151.49</v>
      </c>
    </row>
    <row r="39" spans="1:28">
      <c r="C39" s="1" t="s">
        <v>269</v>
      </c>
      <c r="E39" s="56">
        <f>SUM(E35:E38)</f>
        <v>5047710.43</v>
      </c>
      <c r="G39" s="56"/>
      <c r="I39" s="56">
        <f>SUM(I35:I38)</f>
        <v>6275939.9199999999</v>
      </c>
      <c r="O39" s="56">
        <f>SUM(O35:O38)</f>
        <v>1588578.9000000001</v>
      </c>
      <c r="Q39" s="56">
        <f>SUM(Q35:Q38)</f>
        <v>1588578.9000000001</v>
      </c>
      <c r="T39" s="56">
        <f>SUM(T35:T38)</f>
        <v>7864518.8200000003</v>
      </c>
      <c r="X39" s="56">
        <f>SUM(X35:X38)</f>
        <v>132813</v>
      </c>
      <c r="AB39" s="56">
        <f>SUM(AB35:AB38)</f>
        <v>7997331.8200000003</v>
      </c>
    </row>
    <row r="41" spans="1:28">
      <c r="E41" s="58"/>
    </row>
  </sheetData>
  <mergeCells count="5">
    <mergeCell ref="A1:AB1"/>
    <mergeCell ref="A2:AB2"/>
    <mergeCell ref="A3:AB3"/>
    <mergeCell ref="A4:AB4"/>
    <mergeCell ref="K9:O9"/>
  </mergeCells>
  <phoneticPr fontId="0" type="noConversion"/>
  <printOptions horizontalCentered="1"/>
  <pageMargins left="1" right="1" top="1" bottom="1" header="0.3" footer="0.3"/>
  <pageSetup scale="97"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pageSetUpPr fitToPage="1"/>
  </sheetPr>
  <dimension ref="A1:AD59"/>
  <sheetViews>
    <sheetView tabSelected="1" zoomScale="90" zoomScaleNormal="90" workbookViewId="0">
      <selection activeCell="C12" sqref="C12"/>
    </sheetView>
  </sheetViews>
  <sheetFormatPr defaultColWidth="9.75" defaultRowHeight="12.75"/>
  <cols>
    <col min="1" max="1" width="7.25" style="1" customWidth="1"/>
    <col min="2" max="2" width="1.75" style="1" customWidth="1"/>
    <col min="3" max="3" width="57" style="1" customWidth="1"/>
    <col min="4" max="4" width="2.75" style="1" customWidth="1"/>
    <col min="5" max="5" width="15.75" style="62" customWidth="1"/>
    <col min="6" max="6" width="2.125" style="62" customWidth="1"/>
    <col min="7" max="7" width="12.75" style="62" customWidth="1"/>
    <col min="8" max="8" width="1.875" style="62" customWidth="1"/>
    <col min="9" max="9" width="15.75" style="62" customWidth="1"/>
    <col min="10" max="10" width="2.125" style="62" customWidth="1"/>
    <col min="11" max="11" width="10.75" style="62" customWidth="1"/>
    <col min="12" max="12" width="2.375" style="62" hidden="1" customWidth="1"/>
    <col min="13" max="13" width="12.125" style="62" hidden="1" customWidth="1"/>
    <col min="14" max="14" width="1" style="62" customWidth="1"/>
    <col min="15" max="15" width="12.375" style="63" customWidth="1"/>
    <col min="16" max="16" width="1.75" style="62" customWidth="1"/>
    <col min="17" max="17" width="14.25" style="62" bestFit="1" customWidth="1"/>
    <col min="18" max="18" width="3.375" style="62" customWidth="1"/>
    <col min="19" max="19" width="1.375" style="62" customWidth="1"/>
    <col min="20" max="20" width="15.75" style="62" customWidth="1"/>
    <col min="21" max="21" width="1.375" style="62" customWidth="1"/>
    <col min="22" max="22" width="12.125" style="62" hidden="1" customWidth="1"/>
    <col min="23" max="23" width="1.375" style="62" hidden="1" customWidth="1"/>
    <col min="24" max="24" width="14.75" style="62" customWidth="1"/>
    <col min="25" max="25" width="1.375" style="62" customWidth="1"/>
    <col min="26" max="26" width="13.125" style="1" hidden="1" customWidth="1"/>
    <col min="27" max="27" width="1.375" style="1" hidden="1" customWidth="1"/>
    <col min="28" max="28" width="15.75" style="1" customWidth="1"/>
    <col min="29" max="29" width="9.75" style="1"/>
    <col min="30" max="30" width="10.375" style="1" bestFit="1" customWidth="1"/>
    <col min="31" max="16384" width="9.75" style="1"/>
  </cols>
  <sheetData>
    <row r="1" spans="1:30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30">
      <c r="A2" s="231" t="s">
        <v>270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30">
      <c r="A3" s="231" t="s">
        <v>271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30">
      <c r="A4" s="231" t="str">
        <f>+OthOpRev451_454_456!A3</f>
        <v>For Twelve Months Ended December 31, 2025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</row>
    <row r="5" spans="1:30">
      <c r="E5" s="1"/>
    </row>
    <row r="6" spans="1:30">
      <c r="A6" s="47"/>
      <c r="B6" s="47"/>
      <c r="C6" s="47"/>
      <c r="D6" s="47"/>
    </row>
    <row r="7" spans="1:30">
      <c r="A7" s="47"/>
      <c r="B7" s="47"/>
      <c r="C7" s="47"/>
      <c r="D7" s="47"/>
    </row>
    <row r="8" spans="1:30">
      <c r="A8" s="2">
        <v>-1</v>
      </c>
      <c r="C8" s="2">
        <v>-2</v>
      </c>
      <c r="D8" s="2"/>
      <c r="E8" s="2">
        <v>-3</v>
      </c>
      <c r="F8" s="3"/>
      <c r="G8" s="2">
        <v>-4</v>
      </c>
      <c r="H8" s="2"/>
      <c r="I8" s="2">
        <v>-5</v>
      </c>
      <c r="J8" s="2"/>
      <c r="K8" s="2">
        <v>-6</v>
      </c>
      <c r="L8" s="2"/>
      <c r="M8" s="2">
        <v>-7</v>
      </c>
      <c r="N8" s="2"/>
      <c r="O8" s="2">
        <v>-7</v>
      </c>
      <c r="P8" s="2"/>
      <c r="Q8" s="2">
        <v>-8</v>
      </c>
      <c r="R8" s="2"/>
      <c r="S8" s="2"/>
      <c r="T8" s="2">
        <v>-9</v>
      </c>
      <c r="U8" s="2"/>
      <c r="V8" s="2">
        <v>-11</v>
      </c>
      <c r="W8" s="1"/>
      <c r="X8" s="2">
        <v>-10</v>
      </c>
      <c r="Y8" s="4"/>
      <c r="Z8" s="2">
        <v>-13</v>
      </c>
      <c r="AA8" s="2"/>
      <c r="AB8" s="2">
        <v>-11</v>
      </c>
    </row>
    <row r="9" spans="1:30">
      <c r="E9" s="5"/>
      <c r="F9" s="3"/>
      <c r="G9" s="3"/>
      <c r="H9" s="3"/>
      <c r="I9" s="1"/>
      <c r="J9" s="3"/>
      <c r="K9" s="232" t="s">
        <v>3</v>
      </c>
      <c r="L9" s="232"/>
      <c r="M9" s="232"/>
      <c r="N9" s="232"/>
      <c r="O9" s="232"/>
      <c r="P9" s="6"/>
      <c r="Q9" s="3"/>
      <c r="R9" s="3"/>
      <c r="S9" s="3"/>
      <c r="T9" s="7" t="s">
        <v>4</v>
      </c>
      <c r="U9" s="3"/>
      <c r="V9" s="3"/>
      <c r="W9" s="5"/>
      <c r="X9" s="5"/>
      <c r="Y9" s="5"/>
      <c r="AA9" s="5"/>
    </row>
    <row r="10" spans="1:30">
      <c r="A10" s="8" t="s">
        <v>5</v>
      </c>
      <c r="B10" s="8"/>
      <c r="E10" s="5">
        <v>2024</v>
      </c>
      <c r="F10" s="3"/>
      <c r="G10" s="5">
        <v>2024</v>
      </c>
      <c r="H10" s="3"/>
      <c r="I10" s="5">
        <v>2024</v>
      </c>
      <c r="J10" s="6"/>
      <c r="K10" s="5">
        <v>2024</v>
      </c>
      <c r="L10" s="6"/>
      <c r="M10" s="6" t="s">
        <v>6</v>
      </c>
      <c r="N10" s="6"/>
      <c r="O10" s="6"/>
      <c r="P10" s="6"/>
      <c r="Q10" s="6"/>
      <c r="R10" s="6" t="s">
        <v>7</v>
      </c>
      <c r="S10" s="6"/>
      <c r="T10" s="9" t="s">
        <v>8</v>
      </c>
      <c r="U10" s="6"/>
      <c r="V10" s="6"/>
      <c r="W10" s="6"/>
      <c r="X10" s="8"/>
      <c r="Y10" s="5"/>
      <c r="Z10" s="8" t="s">
        <v>9</v>
      </c>
      <c r="AA10" s="8"/>
      <c r="AB10" s="5" t="s">
        <v>4</v>
      </c>
    </row>
    <row r="11" spans="1:30">
      <c r="A11" s="10" t="s">
        <v>10</v>
      </c>
      <c r="B11" s="8"/>
      <c r="C11" s="10" t="s">
        <v>11</v>
      </c>
      <c r="E11" s="11" t="s">
        <v>12</v>
      </c>
      <c r="F11" s="3"/>
      <c r="G11" s="12" t="s">
        <v>13</v>
      </c>
      <c r="H11" s="6"/>
      <c r="I11" s="13" t="s">
        <v>14</v>
      </c>
      <c r="J11" s="6"/>
      <c r="K11" s="13" t="s">
        <v>14</v>
      </c>
      <c r="L11" s="6"/>
      <c r="M11" s="13" t="s">
        <v>15</v>
      </c>
      <c r="N11" s="6"/>
      <c r="O11" s="14" t="s">
        <v>16</v>
      </c>
      <c r="P11" s="9"/>
      <c r="Q11" s="13" t="s">
        <v>17</v>
      </c>
      <c r="R11" s="13" t="s">
        <v>10</v>
      </c>
      <c r="S11" s="6"/>
      <c r="T11" s="14" t="s">
        <v>18</v>
      </c>
      <c r="U11" s="6"/>
      <c r="V11" s="13" t="s">
        <v>19</v>
      </c>
      <c r="W11" s="6"/>
      <c r="X11" s="10" t="s">
        <v>20</v>
      </c>
      <c r="Y11" s="8"/>
      <c r="Z11" s="10" t="s">
        <v>21</v>
      </c>
      <c r="AA11" s="8"/>
      <c r="AB11" s="10" t="s">
        <v>18</v>
      </c>
    </row>
    <row r="12" spans="1:30">
      <c r="A12" s="8"/>
      <c r="B12" s="8"/>
      <c r="C12" s="8"/>
      <c r="D12" s="8"/>
      <c r="E12" s="126"/>
      <c r="O12" s="62"/>
      <c r="S12" s="63"/>
    </row>
    <row r="13" spans="1:30">
      <c r="C13" s="21" t="s">
        <v>272</v>
      </c>
      <c r="D13" s="21"/>
      <c r="E13" s="22"/>
      <c r="O13" s="62"/>
      <c r="S13" s="63"/>
    </row>
    <row r="14" spans="1:30">
      <c r="A14" s="8">
        <v>1</v>
      </c>
      <c r="B14" s="8"/>
      <c r="C14" s="26" t="s">
        <v>273</v>
      </c>
      <c r="D14" s="21"/>
      <c r="E14" s="64">
        <v>3191111</v>
      </c>
      <c r="G14" s="64">
        <v>0</v>
      </c>
      <c r="H14" s="1"/>
      <c r="I14" s="19">
        <f>SUM(E14:H14)</f>
        <v>3191111</v>
      </c>
      <c r="J14" s="1"/>
      <c r="K14" s="19" t="s">
        <v>24</v>
      </c>
      <c r="L14" s="19"/>
      <c r="M14" s="19">
        <v>0</v>
      </c>
      <c r="N14" s="19"/>
      <c r="O14" s="64"/>
      <c r="P14" s="19"/>
      <c r="Q14" s="19">
        <f>+M14+O14</f>
        <v>0</v>
      </c>
      <c r="R14" s="19"/>
      <c r="S14" s="19"/>
      <c r="T14" s="19">
        <f>+I14+Q14</f>
        <v>3191111</v>
      </c>
      <c r="U14" s="19"/>
      <c r="V14" s="19">
        <v>0</v>
      </c>
      <c r="W14" s="19"/>
      <c r="X14" s="19">
        <v>0</v>
      </c>
      <c r="Y14" s="19"/>
      <c r="Z14" s="19">
        <v>0</v>
      </c>
      <c r="AA14" s="19"/>
      <c r="AB14" s="19">
        <f>+T14+V14+X14+Z14</f>
        <v>3191111</v>
      </c>
      <c r="AD14" s="118"/>
    </row>
    <row r="15" spans="1:30">
      <c r="A15" s="8"/>
      <c r="B15" s="8"/>
      <c r="C15" s="21"/>
      <c r="D15" s="21"/>
      <c r="E15" s="126"/>
      <c r="G15" s="126"/>
      <c r="H15" s="1"/>
      <c r="I15" s="24"/>
      <c r="J15" s="1"/>
      <c r="K15" s="24"/>
      <c r="L15" s="24"/>
      <c r="M15" s="24"/>
      <c r="N15" s="24"/>
      <c r="O15" s="126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B15" s="24"/>
      <c r="AD15" s="119"/>
    </row>
    <row r="16" spans="1:30">
      <c r="A16" s="8">
        <v>2</v>
      </c>
      <c r="B16" s="8"/>
      <c r="C16" s="26" t="s">
        <v>274</v>
      </c>
      <c r="D16" s="21"/>
      <c r="E16" s="65">
        <v>1299039</v>
      </c>
      <c r="G16" s="65">
        <v>0</v>
      </c>
      <c r="H16" s="1"/>
      <c r="I16" s="24">
        <f>SUM(E16:H16)</f>
        <v>1299039</v>
      </c>
      <c r="J16" s="1"/>
      <c r="K16" s="19" t="s">
        <v>24</v>
      </c>
      <c r="L16" s="24"/>
      <c r="M16" s="24">
        <v>0</v>
      </c>
      <c r="N16" s="24"/>
      <c r="O16" s="65"/>
      <c r="P16" s="24"/>
      <c r="Q16" s="24">
        <f t="shared" ref="Q16:Q20" si="0">+M16+O16</f>
        <v>0</v>
      </c>
      <c r="R16" s="24"/>
      <c r="S16" s="24"/>
      <c r="T16" s="24">
        <f>+I16+Q16</f>
        <v>1299039</v>
      </c>
      <c r="U16" s="24"/>
      <c r="V16" s="24">
        <v>0</v>
      </c>
      <c r="W16" s="24"/>
      <c r="X16" s="24">
        <v>0</v>
      </c>
      <c r="Y16" s="24"/>
      <c r="Z16" s="24">
        <v>0</v>
      </c>
      <c r="AB16" s="24">
        <f t="shared" ref="AB16" si="1">+T16+V16+X16+Z16</f>
        <v>1299039</v>
      </c>
      <c r="AD16" s="118"/>
    </row>
    <row r="17" spans="1:30">
      <c r="A17" s="8"/>
      <c r="B17" s="8"/>
      <c r="C17" s="17"/>
      <c r="D17" s="21"/>
      <c r="E17" s="65"/>
      <c r="G17" s="65"/>
      <c r="I17" s="65"/>
      <c r="K17" s="65"/>
      <c r="M17" s="65"/>
      <c r="N17" s="65"/>
      <c r="O17" s="65"/>
      <c r="Q17" s="65">
        <f t="shared" si="0"/>
        <v>0</v>
      </c>
      <c r="R17" s="65"/>
      <c r="S17" s="63"/>
      <c r="T17" s="65"/>
      <c r="V17" s="65"/>
      <c r="X17" s="65"/>
      <c r="Z17" s="65"/>
      <c r="AA17" s="65"/>
      <c r="AB17" s="65"/>
      <c r="AD17" s="119"/>
    </row>
    <row r="18" spans="1:30">
      <c r="A18" s="8">
        <v>3</v>
      </c>
      <c r="B18" s="8"/>
      <c r="C18" s="18" t="s">
        <v>275</v>
      </c>
      <c r="D18" s="8"/>
      <c r="E18" s="65">
        <v>1078140</v>
      </c>
      <c r="G18" s="65">
        <v>0</v>
      </c>
      <c r="H18" s="1"/>
      <c r="I18" s="24">
        <f>SUM(E18:H18)</f>
        <v>1078140</v>
      </c>
      <c r="J18" s="1"/>
      <c r="K18" s="19" t="s">
        <v>24</v>
      </c>
      <c r="L18" s="24"/>
      <c r="M18" s="24">
        <v>0</v>
      </c>
      <c r="N18" s="24"/>
      <c r="O18" s="65"/>
      <c r="P18" s="24"/>
      <c r="Q18" s="24">
        <f t="shared" si="0"/>
        <v>0</v>
      </c>
      <c r="R18" s="24"/>
      <c r="S18" s="24"/>
      <c r="T18" s="24">
        <f>+I18+Q18</f>
        <v>1078140</v>
      </c>
      <c r="U18" s="24"/>
      <c r="V18" s="24">
        <v>0</v>
      </c>
      <c r="W18" s="24"/>
      <c r="X18" s="24">
        <v>0</v>
      </c>
      <c r="Y18" s="24"/>
      <c r="Z18" s="24">
        <v>0</v>
      </c>
      <c r="AB18" s="24">
        <f t="shared" ref="AB18" si="2">+T18+V18+X18+Z18</f>
        <v>1078140</v>
      </c>
      <c r="AD18" s="118"/>
    </row>
    <row r="19" spans="1:30">
      <c r="E19" s="65"/>
      <c r="G19" s="65"/>
      <c r="I19" s="65"/>
      <c r="K19" s="65"/>
      <c r="M19" s="65"/>
      <c r="N19" s="65"/>
      <c r="O19" s="65"/>
      <c r="Q19" s="65">
        <f t="shared" si="0"/>
        <v>0</v>
      </c>
      <c r="R19" s="65"/>
      <c r="S19" s="63"/>
      <c r="T19" s="65"/>
      <c r="V19" s="65"/>
      <c r="X19" s="65"/>
      <c r="Z19" s="65"/>
      <c r="AA19" s="65"/>
      <c r="AB19" s="65"/>
      <c r="AD19" s="119"/>
    </row>
    <row r="20" spans="1:30">
      <c r="A20" s="8">
        <v>4</v>
      </c>
      <c r="B20" s="8"/>
      <c r="C20" s="26" t="s">
        <v>276</v>
      </c>
      <c r="D20" s="21"/>
      <c r="E20" s="66">
        <v>256196</v>
      </c>
      <c r="G20" s="66">
        <v>0</v>
      </c>
      <c r="H20" s="1"/>
      <c r="I20" s="27">
        <f>SUM(E20:H20)</f>
        <v>256196</v>
      </c>
      <c r="J20" s="1"/>
      <c r="K20" s="19" t="s">
        <v>24</v>
      </c>
      <c r="L20" s="24"/>
      <c r="M20" s="27">
        <v>0</v>
      </c>
      <c r="N20" s="24"/>
      <c r="O20" s="66"/>
      <c r="P20" s="24"/>
      <c r="Q20" s="27">
        <f t="shared" si="0"/>
        <v>0</v>
      </c>
      <c r="R20" s="24"/>
      <c r="S20" s="24"/>
      <c r="T20" s="27">
        <f>+I20+Q20</f>
        <v>256196</v>
      </c>
      <c r="U20" s="24"/>
      <c r="V20" s="27">
        <v>0</v>
      </c>
      <c r="W20" s="24"/>
      <c r="X20" s="27">
        <v>0</v>
      </c>
      <c r="Y20" s="24"/>
      <c r="Z20" s="27">
        <v>0</v>
      </c>
      <c r="AB20" s="27">
        <f t="shared" ref="AB20" si="3">+T20+V20+X20+Z20</f>
        <v>256196</v>
      </c>
      <c r="AD20" s="118"/>
    </row>
    <row r="21" spans="1:30">
      <c r="E21" s="65"/>
      <c r="G21" s="65"/>
      <c r="I21" s="65"/>
      <c r="K21" s="65"/>
      <c r="M21" s="65"/>
      <c r="N21" s="65"/>
      <c r="O21" s="65"/>
      <c r="Q21" s="65"/>
      <c r="R21" s="65"/>
      <c r="S21" s="63"/>
      <c r="T21" s="65"/>
      <c r="V21" s="65"/>
      <c r="X21" s="65"/>
      <c r="Z21" s="65"/>
      <c r="AA21" s="65"/>
      <c r="AB21" s="65"/>
    </row>
    <row r="22" spans="1:30">
      <c r="A22" s="8">
        <v>5</v>
      </c>
      <c r="B22" s="8"/>
      <c r="C22" s="26" t="s">
        <v>277</v>
      </c>
      <c r="D22" s="21"/>
      <c r="E22" s="65">
        <f>SUM(E14:E21)</f>
        <v>5824486</v>
      </c>
      <c r="G22" s="65">
        <f>SUM(G14:G21)</f>
        <v>0</v>
      </c>
      <c r="H22" s="1"/>
      <c r="I22" s="65">
        <f>SUM(I14:I20)</f>
        <v>5824486</v>
      </c>
      <c r="J22" s="1"/>
      <c r="K22" s="65"/>
      <c r="L22" s="1"/>
      <c r="M22" s="65">
        <f>SUM(M14:M20)</f>
        <v>0</v>
      </c>
      <c r="N22" s="65"/>
      <c r="O22" s="65">
        <f>SUM(O14:O21)</f>
        <v>0</v>
      </c>
      <c r="P22" s="1"/>
      <c r="Q22" s="65">
        <f t="shared" ref="Q22:Q26" si="4">+M22+O22</f>
        <v>0</v>
      </c>
      <c r="R22" s="65"/>
      <c r="S22" s="16"/>
      <c r="T22" s="65">
        <f>SUM(T14:T20)</f>
        <v>5824486</v>
      </c>
      <c r="U22" s="1"/>
      <c r="V22" s="65">
        <f>SUM(V14:V20)</f>
        <v>0</v>
      </c>
      <c r="W22" s="1"/>
      <c r="X22" s="65">
        <f>SUM(X14:X20)</f>
        <v>0</v>
      </c>
      <c r="Y22" s="1"/>
      <c r="Z22" s="65">
        <f>SUM(Z14:Z20)</f>
        <v>0</v>
      </c>
      <c r="AA22" s="65"/>
      <c r="AB22" s="65">
        <f>SUM(AB14:AB20)</f>
        <v>5824486</v>
      </c>
      <c r="AD22" s="65"/>
    </row>
    <row r="23" spans="1:30">
      <c r="E23" s="65"/>
      <c r="G23" s="65"/>
      <c r="I23" s="65"/>
      <c r="K23" s="65"/>
      <c r="M23" s="65"/>
      <c r="N23" s="65"/>
      <c r="O23" s="65"/>
      <c r="Q23" s="65">
        <f t="shared" si="4"/>
        <v>0</v>
      </c>
      <c r="R23" s="65"/>
      <c r="S23" s="63"/>
      <c r="T23" s="65"/>
      <c r="V23" s="65"/>
      <c r="X23" s="65"/>
      <c r="Z23" s="65"/>
      <c r="AA23" s="65"/>
      <c r="AB23" s="65"/>
    </row>
    <row r="24" spans="1:30">
      <c r="A24" s="8">
        <v>6</v>
      </c>
      <c r="B24" s="8"/>
      <c r="C24" s="26" t="s">
        <v>278</v>
      </c>
      <c r="D24" s="21"/>
      <c r="E24" s="65">
        <v>0</v>
      </c>
      <c r="G24" s="65">
        <v>0</v>
      </c>
      <c r="H24" s="1"/>
      <c r="I24" s="24">
        <f>SUM(E24:H24)</f>
        <v>0</v>
      </c>
      <c r="J24" s="1"/>
      <c r="K24" s="24"/>
      <c r="L24" s="24"/>
      <c r="M24" s="24">
        <v>0</v>
      </c>
      <c r="N24" s="24"/>
      <c r="O24" s="65">
        <v>0</v>
      </c>
      <c r="P24" s="24"/>
      <c r="Q24" s="24">
        <f t="shared" si="4"/>
        <v>0</v>
      </c>
      <c r="R24" s="24"/>
      <c r="S24" s="24"/>
      <c r="T24" s="24">
        <f>+I24+Q24</f>
        <v>0</v>
      </c>
      <c r="U24" s="24"/>
      <c r="V24" s="24">
        <v>0</v>
      </c>
      <c r="W24" s="24"/>
      <c r="X24" s="24">
        <v>0</v>
      </c>
      <c r="Y24" s="24"/>
      <c r="Z24" s="24">
        <v>0</v>
      </c>
      <c r="AB24" s="24">
        <f t="shared" ref="AB24" si="5">+T24+V24+X24+Z24</f>
        <v>0</v>
      </c>
    </row>
    <row r="25" spans="1:30">
      <c r="A25" s="8"/>
      <c r="B25" s="8"/>
      <c r="C25" s="21"/>
      <c r="D25" s="21"/>
      <c r="E25" s="65"/>
      <c r="G25" s="65"/>
      <c r="I25" s="65"/>
      <c r="K25" s="65"/>
      <c r="M25" s="65"/>
      <c r="N25" s="65"/>
      <c r="O25" s="65"/>
      <c r="Q25" s="65">
        <f t="shared" si="4"/>
        <v>0</v>
      </c>
      <c r="R25" s="65"/>
      <c r="S25" s="63"/>
      <c r="T25" s="65"/>
      <c r="V25" s="65"/>
      <c r="X25" s="65"/>
      <c r="Z25" s="65"/>
      <c r="AA25" s="65"/>
      <c r="AB25" s="65"/>
    </row>
    <row r="26" spans="1:30">
      <c r="A26" s="8">
        <v>7</v>
      </c>
      <c r="B26" s="8"/>
      <c r="C26" s="18" t="s">
        <v>279</v>
      </c>
      <c r="D26" s="8"/>
      <c r="E26" s="66">
        <v>445502</v>
      </c>
      <c r="G26" s="66">
        <v>0</v>
      </c>
      <c r="H26" s="1"/>
      <c r="I26" s="27">
        <f>SUM(E26:H26)</f>
        <v>445502</v>
      </c>
      <c r="J26" s="1"/>
      <c r="K26" s="19" t="s">
        <v>24</v>
      </c>
      <c r="L26" s="24"/>
      <c r="M26" s="27">
        <v>0</v>
      </c>
      <c r="N26" s="24"/>
      <c r="O26" s="66"/>
      <c r="P26" s="24"/>
      <c r="Q26" s="27">
        <f t="shared" si="4"/>
        <v>0</v>
      </c>
      <c r="R26" s="24"/>
      <c r="S26" s="24"/>
      <c r="T26" s="27">
        <f>+I26+Q26</f>
        <v>445502</v>
      </c>
      <c r="U26" s="24"/>
      <c r="V26" s="27">
        <v>0</v>
      </c>
      <c r="W26" s="24"/>
      <c r="X26" s="27">
        <v>0</v>
      </c>
      <c r="Y26" s="24"/>
      <c r="Z26" s="27">
        <v>0</v>
      </c>
      <c r="AB26" s="27">
        <f t="shared" ref="AB26" si="6">+T26+V26+X26+Z26</f>
        <v>445502</v>
      </c>
    </row>
    <row r="27" spans="1:30">
      <c r="A27" s="8"/>
      <c r="B27" s="8"/>
      <c r="C27" s="21"/>
      <c r="D27" s="21"/>
      <c r="E27" s="65"/>
      <c r="G27" s="65"/>
      <c r="I27" s="65"/>
      <c r="K27" s="65"/>
      <c r="M27" s="65"/>
      <c r="N27" s="65"/>
      <c r="O27" s="65"/>
      <c r="Q27" s="65"/>
      <c r="R27" s="65"/>
      <c r="S27" s="63"/>
      <c r="T27" s="65"/>
      <c r="V27" s="65"/>
      <c r="X27" s="65"/>
      <c r="Z27" s="65"/>
      <c r="AA27" s="65"/>
      <c r="AB27" s="65"/>
    </row>
    <row r="28" spans="1:30">
      <c r="A28" s="8">
        <v>8</v>
      </c>
      <c r="B28" s="8"/>
      <c r="C28" s="26" t="s">
        <v>280</v>
      </c>
      <c r="D28" s="21"/>
      <c r="E28" s="66">
        <f>SUM(E22:E26)</f>
        <v>6269988</v>
      </c>
      <c r="G28" s="66">
        <f>SUM(G22:G26)</f>
        <v>0</v>
      </c>
      <c r="I28" s="66">
        <f>SUM(I22:I26)</f>
        <v>6269988</v>
      </c>
      <c r="K28" s="65"/>
      <c r="M28" s="66">
        <f>SUM(M22:M26)</f>
        <v>0</v>
      </c>
      <c r="N28" s="65"/>
      <c r="O28" s="66">
        <f>SUM(O22:O26)</f>
        <v>0</v>
      </c>
      <c r="Q28" s="66">
        <f>SUM(Q22:Q26)</f>
        <v>0</v>
      </c>
      <c r="R28" s="65"/>
      <c r="S28" s="63"/>
      <c r="T28" s="66">
        <f>SUM(T22:T26)</f>
        <v>6269988</v>
      </c>
      <c r="V28" s="66">
        <f>SUM(V22:V26)</f>
        <v>0</v>
      </c>
      <c r="X28" s="66">
        <f>SUM(X22:X26)</f>
        <v>0</v>
      </c>
      <c r="Z28" s="66">
        <f>SUM(Z22:Z26)</f>
        <v>0</v>
      </c>
      <c r="AA28" s="65"/>
      <c r="AB28" s="66">
        <f>SUM(AB22:AB26)</f>
        <v>6269988</v>
      </c>
    </row>
    <row r="29" spans="1:30">
      <c r="A29" s="8"/>
      <c r="B29" s="8"/>
      <c r="C29" s="21"/>
      <c r="D29" s="21"/>
      <c r="E29" s="65"/>
      <c r="G29" s="65"/>
      <c r="I29" s="65"/>
      <c r="K29" s="65"/>
      <c r="M29" s="65"/>
      <c r="N29" s="65"/>
      <c r="O29" s="65"/>
      <c r="Q29" s="65"/>
      <c r="R29" s="65"/>
      <c r="S29" s="63"/>
      <c r="T29" s="65"/>
      <c r="V29" s="65"/>
      <c r="X29" s="65"/>
      <c r="Z29" s="65"/>
      <c r="AA29" s="65"/>
      <c r="AB29" s="65"/>
    </row>
    <row r="30" spans="1:30">
      <c r="C30" s="127" t="s">
        <v>281</v>
      </c>
      <c r="D30" s="21"/>
      <c r="E30" s="65"/>
      <c r="G30" s="65"/>
      <c r="I30" s="65"/>
      <c r="K30" s="65"/>
      <c r="M30" s="65"/>
      <c r="N30" s="65"/>
      <c r="O30" s="65"/>
      <c r="Q30" s="65"/>
      <c r="R30" s="65"/>
      <c r="S30" s="63"/>
      <c r="T30" s="65"/>
      <c r="V30" s="65"/>
      <c r="X30" s="65"/>
      <c r="Z30" s="65"/>
      <c r="AA30" s="65"/>
      <c r="AB30" s="65"/>
    </row>
    <row r="31" spans="1:30">
      <c r="A31" s="8"/>
      <c r="B31" s="8"/>
      <c r="C31" s="17"/>
      <c r="D31" s="21"/>
      <c r="E31" s="65"/>
      <c r="G31" s="65"/>
      <c r="I31" s="65"/>
      <c r="K31" s="65"/>
      <c r="M31" s="65"/>
      <c r="N31" s="65"/>
      <c r="O31" s="65"/>
      <c r="Q31" s="65"/>
      <c r="R31" s="65"/>
      <c r="S31" s="63"/>
      <c r="T31" s="65"/>
      <c r="V31" s="65"/>
      <c r="X31" s="65"/>
      <c r="Z31" s="65"/>
      <c r="AA31" s="65"/>
      <c r="AB31" s="65"/>
    </row>
    <row r="32" spans="1:30">
      <c r="A32" s="8">
        <v>9</v>
      </c>
      <c r="B32" s="8"/>
      <c r="C32" s="26" t="s">
        <v>282</v>
      </c>
      <c r="D32" s="21"/>
      <c r="E32" s="65">
        <v>0</v>
      </c>
      <c r="G32" s="65">
        <v>0</v>
      </c>
      <c r="H32" s="1"/>
      <c r="I32" s="65">
        <f>SUM(E32:H32)</f>
        <v>0</v>
      </c>
      <c r="J32" s="1"/>
      <c r="K32" s="65"/>
      <c r="L32" s="24"/>
      <c r="M32" s="65">
        <v>0</v>
      </c>
      <c r="N32" s="24"/>
      <c r="O32" s="65">
        <v>0</v>
      </c>
      <c r="P32" s="24"/>
      <c r="Q32" s="65">
        <f t="shared" ref="Q32:Q34" si="7">+M32+O32</f>
        <v>0</v>
      </c>
      <c r="R32" s="65"/>
      <c r="S32" s="24"/>
      <c r="T32" s="65">
        <f>+I32+Q32</f>
        <v>0</v>
      </c>
      <c r="U32" s="24"/>
      <c r="V32" s="65">
        <v>0</v>
      </c>
      <c r="W32" s="24"/>
      <c r="X32" s="65">
        <v>0</v>
      </c>
      <c r="Y32" s="24"/>
      <c r="Z32" s="65">
        <v>0</v>
      </c>
      <c r="AB32" s="65">
        <f t="shared" ref="AB32" si="8">+T32+V32+X32+Z32</f>
        <v>0</v>
      </c>
    </row>
    <row r="33" spans="1:28">
      <c r="C33" s="21"/>
      <c r="D33" s="21"/>
      <c r="E33" s="65"/>
      <c r="G33" s="65"/>
      <c r="I33" s="65"/>
      <c r="K33" s="65"/>
      <c r="M33" s="65"/>
      <c r="N33" s="65"/>
      <c r="O33" s="65"/>
      <c r="Q33" s="65">
        <f t="shared" si="7"/>
        <v>0</v>
      </c>
      <c r="R33" s="65"/>
      <c r="S33" s="63"/>
      <c r="T33" s="65"/>
      <c r="V33" s="65"/>
      <c r="X33" s="65"/>
      <c r="Z33" s="65"/>
      <c r="AA33" s="65"/>
      <c r="AB33" s="65"/>
    </row>
    <row r="34" spans="1:28">
      <c r="A34" s="8">
        <v>10</v>
      </c>
      <c r="B34" s="8"/>
      <c r="C34" s="26" t="s">
        <v>283</v>
      </c>
      <c r="D34" s="17"/>
      <c r="E34" s="66">
        <v>89772</v>
      </c>
      <c r="G34" s="66">
        <f>3899.55</f>
        <v>3899.55</v>
      </c>
      <c r="H34" s="1"/>
      <c r="I34" s="27">
        <f>SUM(E34:H34)</f>
        <v>93671.55</v>
      </c>
      <c r="J34" s="1"/>
      <c r="K34" s="19"/>
      <c r="L34" s="24"/>
      <c r="M34" s="27">
        <v>0</v>
      </c>
      <c r="N34" s="24"/>
      <c r="O34" s="27">
        <f>53887.07</f>
        <v>53887.07</v>
      </c>
      <c r="P34" s="24"/>
      <c r="Q34" s="27">
        <f t="shared" si="7"/>
        <v>53887.07</v>
      </c>
      <c r="R34" s="24"/>
      <c r="S34" s="24"/>
      <c r="T34" s="27">
        <f>+I34+Q34</f>
        <v>147558.62</v>
      </c>
      <c r="U34" s="24"/>
      <c r="V34" s="27">
        <v>0</v>
      </c>
      <c r="W34" s="24"/>
      <c r="X34" s="27">
        <v>0</v>
      </c>
      <c r="Y34" s="24"/>
      <c r="Z34" s="27">
        <v>0</v>
      </c>
      <c r="AB34" s="27">
        <f t="shared" ref="AB34" si="9">+T34+V34+X34+Z34</f>
        <v>147558.62</v>
      </c>
    </row>
    <row r="35" spans="1:28">
      <c r="E35" s="65"/>
      <c r="G35" s="65"/>
      <c r="I35" s="65"/>
      <c r="K35" s="65"/>
      <c r="M35" s="65"/>
      <c r="N35" s="65"/>
      <c r="O35" s="65"/>
      <c r="Q35" s="65"/>
      <c r="R35" s="65"/>
      <c r="S35" s="63"/>
      <c r="T35" s="65"/>
      <c r="V35" s="65"/>
      <c r="X35" s="65"/>
      <c r="Z35" s="65"/>
      <c r="AA35" s="65"/>
      <c r="AB35" s="65"/>
    </row>
    <row r="36" spans="1:28">
      <c r="A36" s="8">
        <v>11</v>
      </c>
      <c r="B36" s="8"/>
      <c r="C36" s="26" t="s">
        <v>284</v>
      </c>
      <c r="D36" s="21"/>
      <c r="E36" s="66">
        <f>SUM(E31:E34)</f>
        <v>89772</v>
      </c>
      <c r="G36" s="66">
        <f>SUM(G31:G34)</f>
        <v>3899.55</v>
      </c>
      <c r="I36" s="66">
        <f>SUM(I31:I34)</f>
        <v>93671.55</v>
      </c>
      <c r="K36" s="65"/>
      <c r="M36" s="66">
        <f>SUM(M31:M34)</f>
        <v>0</v>
      </c>
      <c r="N36" s="65"/>
      <c r="O36" s="66">
        <f>SUM(O31:O34)</f>
        <v>53887.07</v>
      </c>
      <c r="Q36" s="66">
        <f>SUM(Q31:Q34)</f>
        <v>53887.07</v>
      </c>
      <c r="R36" s="65"/>
      <c r="S36" s="63"/>
      <c r="T36" s="66">
        <f>SUM(T31:T34)</f>
        <v>147558.62</v>
      </c>
      <c r="V36" s="66">
        <f>SUM(V31:V34)</f>
        <v>0</v>
      </c>
      <c r="X36" s="66">
        <f>SUM(X31:X34)</f>
        <v>0</v>
      </c>
      <c r="Z36" s="66">
        <f>SUM(Z31:Z34)</f>
        <v>0</v>
      </c>
      <c r="AA36" s="65"/>
      <c r="AB36" s="66">
        <f>SUM(AB31:AB34)</f>
        <v>147558.62</v>
      </c>
    </row>
    <row r="37" spans="1:28">
      <c r="E37" s="65"/>
      <c r="G37" s="65"/>
      <c r="I37" s="65"/>
      <c r="K37" s="65"/>
      <c r="M37" s="65"/>
      <c r="N37" s="65"/>
      <c r="O37" s="65"/>
      <c r="Q37" s="65"/>
      <c r="R37" s="65"/>
      <c r="S37" s="63"/>
      <c r="T37" s="65"/>
      <c r="V37" s="65"/>
      <c r="X37" s="65"/>
      <c r="Z37" s="65"/>
      <c r="AA37" s="65"/>
      <c r="AB37" s="65"/>
    </row>
    <row r="38" spans="1:28">
      <c r="C38" s="21" t="s">
        <v>285</v>
      </c>
      <c r="D38" s="21"/>
      <c r="E38" s="65"/>
      <c r="G38" s="65"/>
      <c r="I38" s="65"/>
      <c r="K38" s="65"/>
      <c r="M38" s="65"/>
      <c r="N38" s="65"/>
      <c r="O38" s="65"/>
      <c r="Q38" s="65"/>
      <c r="R38" s="65"/>
      <c r="S38" s="63"/>
      <c r="T38" s="65"/>
      <c r="V38" s="65"/>
      <c r="X38" s="65"/>
      <c r="Z38" s="65"/>
      <c r="AA38" s="65"/>
      <c r="AB38" s="65"/>
    </row>
    <row r="39" spans="1:28">
      <c r="C39" s="21"/>
      <c r="D39" s="21"/>
      <c r="E39" s="65"/>
      <c r="G39" s="65"/>
      <c r="I39" s="65"/>
      <c r="K39" s="65"/>
      <c r="M39" s="65"/>
      <c r="N39" s="65"/>
      <c r="O39" s="65"/>
      <c r="Q39" s="65"/>
      <c r="R39" s="65"/>
      <c r="S39" s="63"/>
      <c r="T39" s="65"/>
      <c r="V39" s="65"/>
      <c r="X39" s="65"/>
      <c r="Z39" s="65"/>
      <c r="AA39" s="65"/>
      <c r="AB39" s="65"/>
    </row>
    <row r="40" spans="1:28">
      <c r="A40" s="8">
        <v>12</v>
      </c>
      <c r="B40" s="8"/>
      <c r="C40" s="26" t="s">
        <v>286</v>
      </c>
      <c r="D40" s="21"/>
      <c r="E40" s="65">
        <v>0</v>
      </c>
      <c r="G40" s="65">
        <v>0</v>
      </c>
      <c r="H40" s="1"/>
      <c r="I40" s="24">
        <f>SUM(E40:H40)</f>
        <v>0</v>
      </c>
      <c r="J40" s="1"/>
      <c r="K40" s="24"/>
      <c r="L40" s="24"/>
      <c r="M40" s="24">
        <v>0</v>
      </c>
      <c r="N40" s="24"/>
      <c r="O40" s="65">
        <v>0</v>
      </c>
      <c r="P40" s="24"/>
      <c r="Q40" s="24">
        <f t="shared" ref="Q40:Q44" si="10">+M40+O40</f>
        <v>0</v>
      </c>
      <c r="R40" s="24"/>
      <c r="S40" s="24"/>
      <c r="T40" s="24">
        <f>+I40+Q40</f>
        <v>0</v>
      </c>
      <c r="U40" s="24"/>
      <c r="V40" s="24">
        <v>0</v>
      </c>
      <c r="W40" s="24"/>
      <c r="X40" s="24">
        <v>0</v>
      </c>
      <c r="Y40" s="24"/>
      <c r="Z40" s="24">
        <v>0</v>
      </c>
      <c r="AB40" s="24">
        <f t="shared" ref="AB40" si="11">+T40+V40+X40+Z40</f>
        <v>0</v>
      </c>
    </row>
    <row r="41" spans="1:28">
      <c r="E41" s="65"/>
      <c r="G41" s="65"/>
      <c r="I41" s="65"/>
      <c r="K41" s="65"/>
      <c r="M41" s="65"/>
      <c r="N41" s="65"/>
      <c r="O41" s="65"/>
      <c r="Q41" s="65">
        <f t="shared" si="10"/>
        <v>0</v>
      </c>
      <c r="R41" s="65"/>
      <c r="S41" s="63"/>
      <c r="T41" s="65"/>
      <c r="V41" s="65"/>
      <c r="X41" s="65"/>
      <c r="Z41" s="65"/>
      <c r="AA41" s="65"/>
      <c r="AB41" s="65"/>
    </row>
    <row r="42" spans="1:28">
      <c r="A42" s="8">
        <v>13</v>
      </c>
      <c r="B42" s="8"/>
      <c r="C42" s="26" t="s">
        <v>287</v>
      </c>
      <c r="D42" s="21"/>
      <c r="E42" s="65">
        <v>0</v>
      </c>
      <c r="G42" s="65">
        <v>0</v>
      </c>
      <c r="H42" s="1"/>
      <c r="I42" s="24">
        <f>SUM(E42:H42)</f>
        <v>0</v>
      </c>
      <c r="J42" s="1"/>
      <c r="K42" s="24"/>
      <c r="L42" s="24"/>
      <c r="M42" s="24">
        <v>0</v>
      </c>
      <c r="N42" s="24"/>
      <c r="O42" s="65">
        <v>0</v>
      </c>
      <c r="P42" s="24"/>
      <c r="Q42" s="24">
        <f t="shared" si="10"/>
        <v>0</v>
      </c>
      <c r="R42" s="24"/>
      <c r="S42" s="24"/>
      <c r="T42" s="24">
        <f>+I42+Q42</f>
        <v>0</v>
      </c>
      <c r="U42" s="24"/>
      <c r="V42" s="24">
        <v>0</v>
      </c>
      <c r="W42" s="24"/>
      <c r="X42" s="24">
        <v>0</v>
      </c>
      <c r="Y42" s="24"/>
      <c r="Z42" s="24">
        <v>0</v>
      </c>
      <c r="AB42" s="24">
        <f t="shared" ref="AB42" si="12">+T42+V42+X42+Z42</f>
        <v>0</v>
      </c>
    </row>
    <row r="43" spans="1:28">
      <c r="E43" s="65"/>
      <c r="G43" s="65"/>
      <c r="I43" s="65"/>
      <c r="K43" s="65"/>
      <c r="M43" s="65"/>
      <c r="N43" s="65"/>
      <c r="O43" s="65"/>
      <c r="Q43" s="65">
        <f t="shared" si="10"/>
        <v>0</v>
      </c>
      <c r="R43" s="65"/>
      <c r="S43" s="63"/>
      <c r="T43" s="65"/>
      <c r="V43" s="65"/>
      <c r="X43" s="65"/>
      <c r="Z43" s="65"/>
      <c r="AA43" s="65"/>
      <c r="AB43" s="65"/>
    </row>
    <row r="44" spans="1:28">
      <c r="A44" s="8">
        <v>14</v>
      </c>
      <c r="B44" s="8"/>
      <c r="C44" s="26" t="s">
        <v>288</v>
      </c>
      <c r="D44" s="21"/>
      <c r="E44" s="66">
        <v>546675</v>
      </c>
      <c r="G44" s="66">
        <f>3218.5-3899.55-109324.99-159048.33-50990.21</f>
        <v>-320044.58</v>
      </c>
      <c r="H44" s="1"/>
      <c r="I44" s="27">
        <f>SUM(E44:H44)</f>
        <v>226630.41999999998</v>
      </c>
      <c r="J44" s="1"/>
      <c r="K44" s="19" t="s">
        <v>24</v>
      </c>
      <c r="L44" s="24"/>
      <c r="M44" s="27">
        <v>0</v>
      </c>
      <c r="N44" s="24"/>
      <c r="O44" s="27"/>
      <c r="P44" s="24"/>
      <c r="Q44" s="27">
        <f t="shared" si="10"/>
        <v>0</v>
      </c>
      <c r="R44" s="24"/>
      <c r="S44" s="24"/>
      <c r="T44" s="27">
        <f>+I44+Q44</f>
        <v>226630.41999999998</v>
      </c>
      <c r="U44" s="24"/>
      <c r="V44" s="27">
        <v>0</v>
      </c>
      <c r="W44" s="24"/>
      <c r="X44" s="27">
        <v>0</v>
      </c>
      <c r="Y44" s="24"/>
      <c r="Z44" s="27">
        <v>0</v>
      </c>
      <c r="AB44" s="27">
        <f>+T44+V44+X44+Z44</f>
        <v>226630.41999999998</v>
      </c>
    </row>
    <row r="45" spans="1:28">
      <c r="E45" s="65"/>
      <c r="G45" s="65"/>
      <c r="I45" s="65"/>
      <c r="K45" s="65"/>
      <c r="M45" s="65"/>
      <c r="N45" s="65"/>
      <c r="O45" s="65"/>
      <c r="Q45" s="65"/>
      <c r="R45" s="65"/>
      <c r="S45" s="63"/>
      <c r="T45" s="65"/>
      <c r="V45" s="65"/>
      <c r="X45" s="65"/>
      <c r="Z45" s="65"/>
      <c r="AA45" s="65"/>
      <c r="AB45" s="65"/>
    </row>
    <row r="46" spans="1:28">
      <c r="A46" s="8">
        <v>15</v>
      </c>
      <c r="B46" s="8"/>
      <c r="C46" s="26" t="s">
        <v>289</v>
      </c>
      <c r="D46" s="21"/>
      <c r="E46" s="66">
        <f>SUM(E38:E45)</f>
        <v>546675</v>
      </c>
      <c r="G46" s="66">
        <f>SUM(G38:G45)</f>
        <v>-320044.58</v>
      </c>
      <c r="I46" s="66">
        <f>SUM(I38:I45)</f>
        <v>226630.41999999998</v>
      </c>
      <c r="K46" s="65"/>
      <c r="M46" s="66">
        <f>SUM(M38:M45)</f>
        <v>0</v>
      </c>
      <c r="N46" s="65"/>
      <c r="O46" s="66">
        <f>SUM(O38:O45)</f>
        <v>0</v>
      </c>
      <c r="Q46" s="66">
        <f>SUM(Q38:Q45)</f>
        <v>0</v>
      </c>
      <c r="R46" s="65"/>
      <c r="S46" s="63"/>
      <c r="T46" s="66">
        <f>SUM(T38:T45)</f>
        <v>226630.41999999998</v>
      </c>
      <c r="V46" s="66">
        <f>SUM(V38:V45)</f>
        <v>0</v>
      </c>
      <c r="X46" s="66">
        <f>SUM(X38:X45)</f>
        <v>0</v>
      </c>
      <c r="Z46" s="66">
        <f>SUM(Z38:Z45)</f>
        <v>0</v>
      </c>
      <c r="AA46" s="65"/>
      <c r="AB46" s="66">
        <f>SUM(AB38:AB45)</f>
        <v>226630.41999999998</v>
      </c>
    </row>
    <row r="47" spans="1:28">
      <c r="E47" s="65"/>
      <c r="G47" s="65"/>
      <c r="I47" s="65"/>
      <c r="K47" s="65"/>
      <c r="M47" s="65"/>
      <c r="N47" s="65"/>
      <c r="O47" s="65"/>
      <c r="Q47" s="65"/>
      <c r="R47" s="65"/>
      <c r="S47" s="63"/>
      <c r="T47" s="65"/>
      <c r="V47" s="65"/>
      <c r="X47" s="65"/>
      <c r="Z47" s="65"/>
      <c r="AA47" s="65"/>
      <c r="AB47" s="65"/>
    </row>
    <row r="48" spans="1:28">
      <c r="C48" s="67" t="s">
        <v>290</v>
      </c>
      <c r="D48" s="21"/>
      <c r="E48" s="65"/>
      <c r="G48" s="65"/>
      <c r="I48" s="65"/>
      <c r="K48" s="65"/>
      <c r="M48" s="65"/>
      <c r="N48" s="65"/>
      <c r="O48" s="65"/>
      <c r="Q48" s="65"/>
      <c r="R48" s="65"/>
      <c r="S48" s="63"/>
      <c r="T48" s="65"/>
      <c r="V48" s="65"/>
      <c r="X48" s="65"/>
      <c r="Z48" s="65"/>
      <c r="AA48" s="65"/>
      <c r="AB48" s="65"/>
    </row>
    <row r="49" spans="1:28">
      <c r="C49" s="21"/>
      <c r="D49" s="21"/>
      <c r="E49" s="65"/>
      <c r="G49" s="65"/>
      <c r="I49" s="65"/>
      <c r="K49" s="65"/>
      <c r="M49" s="65"/>
      <c r="N49" s="65"/>
      <c r="O49" s="65"/>
      <c r="Q49" s="65"/>
      <c r="R49" s="65"/>
      <c r="S49" s="63"/>
      <c r="T49" s="65"/>
      <c r="V49" s="65"/>
      <c r="X49" s="65"/>
      <c r="Z49" s="65"/>
      <c r="AA49" s="65"/>
      <c r="AB49" s="65"/>
    </row>
    <row r="50" spans="1:28">
      <c r="A50" s="8">
        <f>A46+1</f>
        <v>16</v>
      </c>
      <c r="B50" s="8"/>
      <c r="C50" s="26" t="s">
        <v>291</v>
      </c>
      <c r="D50" s="21"/>
      <c r="E50" s="66">
        <v>0</v>
      </c>
      <c r="G50" s="66">
        <v>0</v>
      </c>
      <c r="H50" s="1"/>
      <c r="I50" s="27">
        <f>SUM(E50:H50)</f>
        <v>0</v>
      </c>
      <c r="J50" s="1"/>
      <c r="K50" s="19"/>
      <c r="L50" s="24"/>
      <c r="M50" s="27">
        <v>0</v>
      </c>
      <c r="N50" s="24"/>
      <c r="O50" s="66">
        <v>0</v>
      </c>
      <c r="P50" s="24"/>
      <c r="Q50" s="27">
        <f>+M50+O50</f>
        <v>0</v>
      </c>
      <c r="R50" s="24"/>
      <c r="S50" s="24"/>
      <c r="T50" s="27">
        <f>+I50+Q50</f>
        <v>0</v>
      </c>
      <c r="U50" s="24"/>
      <c r="V50" s="27">
        <v>0</v>
      </c>
      <c r="W50" s="24"/>
      <c r="X50" s="27">
        <v>0</v>
      </c>
      <c r="Y50" s="24"/>
      <c r="Z50" s="27">
        <v>0</v>
      </c>
      <c r="AB50" s="27">
        <f t="shared" ref="AB50" si="13">+T50+V50+X50+Z50</f>
        <v>0</v>
      </c>
    </row>
    <row r="51" spans="1:28">
      <c r="E51" s="65"/>
      <c r="G51" s="65"/>
      <c r="I51" s="65"/>
      <c r="K51" s="65"/>
      <c r="M51" s="65"/>
      <c r="N51" s="65"/>
      <c r="O51" s="65"/>
      <c r="Q51" s="65"/>
      <c r="R51" s="65"/>
      <c r="S51" s="63"/>
      <c r="T51" s="65"/>
      <c r="V51" s="65"/>
      <c r="X51" s="65"/>
      <c r="Z51" s="65"/>
      <c r="AA51" s="65"/>
      <c r="AB51" s="65"/>
    </row>
    <row r="52" spans="1:28">
      <c r="A52" s="8">
        <f>A50+1</f>
        <v>17</v>
      </c>
      <c r="B52" s="8"/>
      <c r="C52" s="26" t="s">
        <v>292</v>
      </c>
      <c r="D52" s="21"/>
      <c r="E52" s="66">
        <f>SUM(E47:E51)</f>
        <v>0</v>
      </c>
      <c r="G52" s="66">
        <f>SUM(G47:G51)</f>
        <v>0</v>
      </c>
      <c r="I52" s="66">
        <f>SUM(I47:I51)</f>
        <v>0</v>
      </c>
      <c r="K52" s="65"/>
      <c r="M52" s="66">
        <f>SUM(M47:M51)</f>
        <v>0</v>
      </c>
      <c r="N52" s="65"/>
      <c r="O52" s="66">
        <f>SUM(O47:O51)</f>
        <v>0</v>
      </c>
      <c r="Q52" s="66">
        <f>SUM(Q47:Q51)</f>
        <v>0</v>
      </c>
      <c r="R52" s="65"/>
      <c r="S52" s="63"/>
      <c r="T52" s="66">
        <f>SUM(T47:T51)</f>
        <v>0</v>
      </c>
      <c r="V52" s="66">
        <f>SUM(V47:V51)</f>
        <v>0</v>
      </c>
      <c r="X52" s="66">
        <f>SUM(X47:X51)</f>
        <v>0</v>
      </c>
      <c r="Z52" s="66">
        <f>SUM(Z47:Z51)</f>
        <v>0</v>
      </c>
      <c r="AA52" s="65"/>
      <c r="AB52" s="66">
        <f>SUM(AB47:AB51)</f>
        <v>0</v>
      </c>
    </row>
    <row r="53" spans="1:28">
      <c r="E53" s="126"/>
      <c r="G53" s="126"/>
      <c r="I53" s="126"/>
      <c r="K53" s="126"/>
      <c r="M53" s="126"/>
      <c r="N53" s="126"/>
      <c r="O53" s="126"/>
      <c r="Q53" s="126"/>
      <c r="R53" s="126"/>
      <c r="S53" s="63"/>
      <c r="T53" s="126"/>
      <c r="V53" s="126"/>
      <c r="X53" s="126"/>
      <c r="Z53" s="126"/>
      <c r="AA53" s="126"/>
      <c r="AB53" s="126"/>
    </row>
    <row r="54" spans="1:28">
      <c r="A54" s="8">
        <f>A52+1</f>
        <v>18</v>
      </c>
      <c r="C54" s="1" t="s">
        <v>293</v>
      </c>
      <c r="E54" s="66">
        <v>47125</v>
      </c>
      <c r="G54" s="66">
        <f>-7520</f>
        <v>-7520</v>
      </c>
      <c r="I54" s="66">
        <f>SUM(E54:G54)</f>
        <v>39605</v>
      </c>
      <c r="K54" s="19" t="s">
        <v>24</v>
      </c>
      <c r="M54" s="66"/>
      <c r="N54" s="65"/>
      <c r="O54" s="66">
        <v>0</v>
      </c>
      <c r="Q54" s="66">
        <f>+M54+O54</f>
        <v>0</v>
      </c>
      <c r="R54" s="65"/>
      <c r="S54" s="63"/>
      <c r="T54" s="66">
        <f>I54+Q54</f>
        <v>39605</v>
      </c>
      <c r="V54" s="66"/>
      <c r="X54" s="66">
        <v>0</v>
      </c>
      <c r="Z54" s="66"/>
      <c r="AA54" s="65"/>
      <c r="AB54" s="66">
        <f>+T54+V54+X54+Z54</f>
        <v>39605</v>
      </c>
    </row>
    <row r="55" spans="1:28">
      <c r="E55" s="126"/>
      <c r="G55" s="126"/>
      <c r="I55" s="126"/>
      <c r="K55" s="126"/>
      <c r="M55" s="126"/>
      <c r="N55" s="126"/>
      <c r="O55" s="126"/>
      <c r="Q55" s="126"/>
      <c r="R55" s="126"/>
      <c r="S55" s="63"/>
      <c r="T55" s="126"/>
      <c r="V55" s="126"/>
      <c r="X55" s="126"/>
      <c r="Z55" s="126"/>
      <c r="AA55" s="126"/>
      <c r="AB55" s="126"/>
    </row>
    <row r="56" spans="1:28" ht="18.75" thickBot="1">
      <c r="A56" s="8">
        <f>A54+1</f>
        <v>19</v>
      </c>
      <c r="B56" s="8"/>
      <c r="C56" s="26" t="s">
        <v>294</v>
      </c>
      <c r="D56" s="21"/>
      <c r="E56" s="128">
        <f>E28+E36+E46+E52+E54</f>
        <v>6953560</v>
      </c>
      <c r="G56" s="128">
        <f>G28+G36+G46+G52+G54</f>
        <v>-323665.03000000003</v>
      </c>
      <c r="I56" s="128">
        <f>I28+I36+I46+I52+I54</f>
        <v>6629894.9699999997</v>
      </c>
      <c r="K56" s="64"/>
      <c r="M56" s="128">
        <f>M28+M36+M46+M52</f>
        <v>0</v>
      </c>
      <c r="N56" s="64"/>
      <c r="O56" s="128">
        <f>O28+O36+O46+O52+O54</f>
        <v>53887.07</v>
      </c>
      <c r="Q56" s="128">
        <f>Q28+Q36+Q46+Q52+Q54</f>
        <v>53887.07</v>
      </c>
      <c r="R56" s="31" t="s">
        <v>246</v>
      </c>
      <c r="S56" s="63"/>
      <c r="T56" s="128">
        <f>T28+T36+T46+T52+T54</f>
        <v>6683782.04</v>
      </c>
      <c r="V56" s="128">
        <f>V28+V36+V46+V52</f>
        <v>0</v>
      </c>
      <c r="X56" s="128">
        <f>X28+X36+X46+X52</f>
        <v>0</v>
      </c>
      <c r="Z56" s="128">
        <f>Z28+Z36+Z46+Z52</f>
        <v>0</v>
      </c>
      <c r="AA56" s="64"/>
      <c r="AB56" s="128">
        <f>AB28+AB36+AB46+AB52+AB54</f>
        <v>6683782.04</v>
      </c>
    </row>
    <row r="57" spans="1:28" ht="13.5" thickTop="1">
      <c r="A57" s="8"/>
      <c r="B57" s="8"/>
      <c r="C57" s="17"/>
      <c r="D57" s="21"/>
      <c r="E57" s="64"/>
      <c r="G57" s="64"/>
      <c r="I57" s="64"/>
      <c r="K57" s="64"/>
      <c r="M57" s="64"/>
      <c r="N57" s="64"/>
      <c r="O57" s="64"/>
      <c r="S57" s="63"/>
      <c r="T57" s="64"/>
      <c r="V57" s="64"/>
      <c r="Z57" s="64"/>
      <c r="AA57" s="64"/>
      <c r="AB57" s="64"/>
    </row>
    <row r="58" spans="1:28">
      <c r="A58" s="8"/>
      <c r="B58" s="8"/>
      <c r="C58" s="17"/>
      <c r="D58" s="21"/>
      <c r="E58" s="64"/>
      <c r="G58" s="64"/>
      <c r="I58" s="64"/>
      <c r="K58" s="64"/>
      <c r="M58" s="64"/>
      <c r="N58" s="64"/>
      <c r="O58" s="62"/>
      <c r="Q58" s="63"/>
      <c r="R58" s="63"/>
      <c r="S58" s="64"/>
      <c r="T58" s="64"/>
      <c r="V58" s="64"/>
      <c r="Z58" s="64"/>
      <c r="AA58" s="64"/>
      <c r="AB58" s="64"/>
    </row>
    <row r="59" spans="1:28">
      <c r="A59" s="17"/>
    </row>
  </sheetData>
  <mergeCells count="5">
    <mergeCell ref="A1:AB1"/>
    <mergeCell ref="A2:AB2"/>
    <mergeCell ref="A3:AB3"/>
    <mergeCell ref="A4:AB4"/>
    <mergeCell ref="K9:O9"/>
  </mergeCells>
  <phoneticPr fontId="0" type="noConversion"/>
  <printOptions horizontalCentered="1"/>
  <pageMargins left="1" right="1" top="1" bottom="1" header="0.3" footer="0.3"/>
  <pageSetup scale="61"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345E-BEDF-408F-9754-A6358CAED116}">
  <sheetPr>
    <pageSetUpPr fitToPage="1"/>
  </sheetPr>
  <dimension ref="A1:AB21"/>
  <sheetViews>
    <sheetView tabSelected="1" topLeftCell="C1" workbookViewId="0">
      <selection activeCell="C12" sqref="C12"/>
    </sheetView>
  </sheetViews>
  <sheetFormatPr defaultColWidth="9.75" defaultRowHeight="12.75"/>
  <cols>
    <col min="1" max="1" width="7.375" style="1" customWidth="1"/>
    <col min="2" max="2" width="2.125" style="1" customWidth="1"/>
    <col min="3" max="3" width="50" style="1" customWidth="1"/>
    <col min="4" max="4" width="1.125" style="1" customWidth="1"/>
    <col min="5" max="5" width="16.875" style="1" customWidth="1"/>
    <col min="6" max="6" width="2.375" style="1" bestFit="1" customWidth="1"/>
    <col min="7" max="7" width="13.25" style="1" bestFit="1" customWidth="1"/>
    <col min="8" max="8" width="1.75" style="1" customWidth="1"/>
    <col min="9" max="9" width="16.75" style="1" customWidth="1"/>
    <col min="10" max="10" width="0.75" style="1" customWidth="1"/>
    <col min="11" max="11" width="10.25" style="1" customWidth="1"/>
    <col min="12" max="12" width="1.75" style="1" customWidth="1"/>
    <col min="13" max="13" width="11.875" style="1" hidden="1" customWidth="1"/>
    <col min="14" max="14" width="1.375" style="1" hidden="1" customWidth="1"/>
    <col min="15" max="15" width="14.25" style="1" customWidth="1"/>
    <col min="16" max="16" width="2.375" style="1" customWidth="1"/>
    <col min="17" max="17" width="14.25" style="1" customWidth="1"/>
    <col min="18" max="18" width="4" style="1" customWidth="1"/>
    <col min="19" max="19" width="1" style="1" customWidth="1"/>
    <col min="20" max="20" width="16.75" style="1" customWidth="1"/>
    <col min="21" max="21" width="1.625" style="1" customWidth="1"/>
    <col min="22" max="22" width="10.375" style="1" hidden="1" customWidth="1"/>
    <col min="23" max="23" width="1.75" style="1" hidden="1" customWidth="1"/>
    <col min="24" max="24" width="15" style="1" customWidth="1"/>
    <col min="25" max="25" width="1" style="1" hidden="1" customWidth="1"/>
    <col min="26" max="26" width="11.875" style="1" hidden="1" customWidth="1"/>
    <col min="27" max="27" width="0.75" style="1" customWidth="1"/>
    <col min="28" max="28" width="16.75" style="1" customWidth="1"/>
    <col min="29" max="16384" width="9.75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>
      <c r="A2" s="231" t="s">
        <v>295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tr">
        <f>+[19]OthOpRev451_454_456!A3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6" spans="1:28">
      <c r="A6" s="47"/>
      <c r="B6" s="47"/>
      <c r="C6" s="47"/>
      <c r="D6" s="47"/>
      <c r="E6" s="47"/>
      <c r="G6" s="47"/>
    </row>
    <row r="7" spans="1:28">
      <c r="A7" s="2">
        <v>-1</v>
      </c>
      <c r="C7" s="2">
        <v>-2</v>
      </c>
      <c r="D7" s="2"/>
      <c r="E7" s="2">
        <v>-3</v>
      </c>
      <c r="F7" s="3"/>
      <c r="G7" s="2">
        <v>-4</v>
      </c>
      <c r="H7" s="2"/>
      <c r="I7" s="2">
        <v>-5</v>
      </c>
      <c r="J7" s="2"/>
      <c r="K7" s="2">
        <v>-6</v>
      </c>
      <c r="L7" s="2"/>
      <c r="M7" s="2">
        <v>-7</v>
      </c>
      <c r="N7" s="2"/>
      <c r="O7" s="2">
        <v>-7</v>
      </c>
      <c r="P7" s="2"/>
      <c r="Q7" s="2">
        <v>-8</v>
      </c>
      <c r="R7" s="2"/>
      <c r="S7" s="2"/>
      <c r="T7" s="2">
        <v>-9</v>
      </c>
      <c r="U7" s="2"/>
      <c r="V7" s="2">
        <v>-11</v>
      </c>
      <c r="X7" s="2">
        <v>-10</v>
      </c>
      <c r="Y7" s="4"/>
      <c r="Z7" s="2">
        <v>-13</v>
      </c>
      <c r="AA7" s="2"/>
      <c r="AB7" s="2">
        <v>-11</v>
      </c>
    </row>
    <row r="8" spans="1:28">
      <c r="E8" s="5"/>
      <c r="F8" s="3"/>
      <c r="G8" s="3"/>
      <c r="H8" s="3"/>
      <c r="J8" s="3"/>
      <c r="K8" s="232" t="s">
        <v>3</v>
      </c>
      <c r="L8" s="232"/>
      <c r="M8" s="232"/>
      <c r="N8" s="232"/>
      <c r="O8" s="232"/>
      <c r="P8" s="6"/>
      <c r="Q8" s="3"/>
      <c r="R8" s="3"/>
      <c r="S8" s="3"/>
      <c r="T8" s="5">
        <v>2025</v>
      </c>
      <c r="U8" s="3"/>
      <c r="V8" s="3"/>
      <c r="W8" s="5"/>
      <c r="X8" s="5"/>
      <c r="Y8" s="5"/>
      <c r="AA8" s="5"/>
    </row>
    <row r="9" spans="1:28">
      <c r="A9" s="8" t="s">
        <v>5</v>
      </c>
      <c r="B9" s="8"/>
      <c r="E9" s="5">
        <v>2024</v>
      </c>
      <c r="F9" s="3"/>
      <c r="G9" s="5">
        <v>2024</v>
      </c>
      <c r="H9" s="3"/>
      <c r="I9" s="5">
        <v>2024</v>
      </c>
      <c r="J9" s="6"/>
      <c r="K9" s="5">
        <v>2024</v>
      </c>
      <c r="L9" s="6"/>
      <c r="M9" s="6" t="s">
        <v>6</v>
      </c>
      <c r="N9" s="6"/>
      <c r="O9" s="6"/>
      <c r="P9" s="6"/>
      <c r="Q9" s="6"/>
      <c r="R9" s="6" t="s">
        <v>7</v>
      </c>
      <c r="S9" s="6"/>
      <c r="T9" s="9" t="s">
        <v>8</v>
      </c>
      <c r="U9" s="6"/>
      <c r="V9" s="6"/>
      <c r="W9" s="6"/>
      <c r="X9" s="8"/>
      <c r="Y9" s="5"/>
      <c r="Z9" s="8" t="s">
        <v>9</v>
      </c>
      <c r="AA9" s="8"/>
      <c r="AB9" s="5">
        <v>2025</v>
      </c>
    </row>
    <row r="10" spans="1:28">
      <c r="A10" s="10" t="s">
        <v>10</v>
      </c>
      <c r="B10" s="8"/>
      <c r="C10" s="10" t="s">
        <v>11</v>
      </c>
      <c r="E10" s="11" t="s">
        <v>12</v>
      </c>
      <c r="F10" s="3"/>
      <c r="G10" s="12" t="s">
        <v>13</v>
      </c>
      <c r="H10" s="6"/>
      <c r="I10" s="13" t="s">
        <v>14</v>
      </c>
      <c r="J10" s="6"/>
      <c r="K10" s="13" t="s">
        <v>14</v>
      </c>
      <c r="L10" s="6"/>
      <c r="M10" s="13" t="s">
        <v>15</v>
      </c>
      <c r="N10" s="6"/>
      <c r="O10" s="14" t="s">
        <v>16</v>
      </c>
      <c r="P10" s="9"/>
      <c r="Q10" s="13" t="s">
        <v>17</v>
      </c>
      <c r="R10" s="13" t="s">
        <v>10</v>
      </c>
      <c r="S10" s="6"/>
      <c r="T10" s="14" t="s">
        <v>18</v>
      </c>
      <c r="U10" s="6"/>
      <c r="V10" s="13" t="s">
        <v>19</v>
      </c>
      <c r="W10" s="6"/>
      <c r="X10" s="10" t="s">
        <v>20</v>
      </c>
      <c r="Y10" s="8"/>
      <c r="Z10" s="10" t="s">
        <v>21</v>
      </c>
      <c r="AA10" s="8"/>
      <c r="AB10" s="10" t="s">
        <v>18</v>
      </c>
    </row>
    <row r="12" spans="1:28">
      <c r="A12" s="21" t="s">
        <v>296</v>
      </c>
      <c r="D12" s="21"/>
      <c r="E12" s="19"/>
      <c r="G12" s="19"/>
    </row>
    <row r="13" spans="1:28">
      <c r="A13" s="21"/>
      <c r="D13" s="21"/>
      <c r="E13" s="19"/>
      <c r="G13" s="19"/>
    </row>
    <row r="14" spans="1:28">
      <c r="A14" s="8">
        <v>1</v>
      </c>
      <c r="C14" s="26" t="s">
        <v>297</v>
      </c>
      <c r="D14" s="17"/>
      <c r="E14" s="19">
        <f>7601772.06+15017.88</f>
        <v>7616789.9399999995</v>
      </c>
      <c r="F14" s="120" t="s">
        <v>298</v>
      </c>
      <c r="G14" s="19">
        <v>0</v>
      </c>
      <c r="H14" s="19"/>
      <c r="I14" s="19">
        <f>SUM(E14:H14)</f>
        <v>7616789.9399999995</v>
      </c>
      <c r="J14" s="19"/>
      <c r="K14" s="19"/>
      <c r="L14" s="19"/>
      <c r="M14" s="19">
        <v>0</v>
      </c>
      <c r="N14" s="19"/>
      <c r="O14" s="19">
        <f>9688339.31-I14+15017.88</f>
        <v>2086567.2500000009</v>
      </c>
      <c r="P14" s="19"/>
      <c r="Q14" s="19">
        <f>+K14+M14+O14</f>
        <v>2086567.2500000009</v>
      </c>
      <c r="R14" s="19"/>
      <c r="S14" s="19"/>
      <c r="T14" s="19">
        <f>+I14+Q14</f>
        <v>9703357.1900000013</v>
      </c>
      <c r="U14" s="19"/>
      <c r="V14" s="19">
        <v>0</v>
      </c>
      <c r="W14" s="19"/>
      <c r="X14" s="19">
        <v>329197.57</v>
      </c>
      <c r="Y14" s="19"/>
      <c r="Z14" s="19">
        <v>0</v>
      </c>
      <c r="AA14" s="19"/>
      <c r="AB14" s="19">
        <f>+T14+V14+X14+Z14</f>
        <v>10032554.760000002</v>
      </c>
    </row>
    <row r="15" spans="1:28">
      <c r="A15" s="8"/>
      <c r="C15" s="26"/>
      <c r="D15" s="17"/>
      <c r="E15" s="19"/>
      <c r="G15" s="15"/>
      <c r="I15" s="15"/>
      <c r="K15" s="22"/>
      <c r="M15" s="15"/>
      <c r="N15" s="15"/>
      <c r="O15" s="15"/>
      <c r="P15" s="15"/>
      <c r="Q15" s="15"/>
      <c r="R15" s="15"/>
      <c r="U15" s="15"/>
      <c r="V15" s="15"/>
      <c r="X15" s="15"/>
      <c r="Y15" s="15"/>
      <c r="Z15" s="15"/>
      <c r="AA15" s="15"/>
    </row>
    <row r="16" spans="1:28">
      <c r="A16" s="8">
        <v>2</v>
      </c>
      <c r="C16" s="39" t="s">
        <v>299</v>
      </c>
      <c r="D16" s="17"/>
      <c r="E16" s="27">
        <f>214756943.19-49989.53</f>
        <v>214706953.66</v>
      </c>
      <c r="F16" s="120" t="s">
        <v>300</v>
      </c>
      <c r="G16" s="66">
        <v>-49614949.827597037</v>
      </c>
      <c r="H16" s="62"/>
      <c r="I16" s="66">
        <f>SUM(E16:H16)</f>
        <v>165092003.83240294</v>
      </c>
      <c r="J16" s="62"/>
      <c r="K16" s="65"/>
      <c r="L16" s="62"/>
      <c r="M16" s="66">
        <v>0</v>
      </c>
      <c r="N16" s="65"/>
      <c r="O16" s="66">
        <f>186274027.52-I16</f>
        <v>21182023.687597066</v>
      </c>
      <c r="P16" s="62"/>
      <c r="Q16" s="66">
        <f>+K16+M16+O16</f>
        <v>21182023.687597066</v>
      </c>
      <c r="R16" s="65"/>
      <c r="S16" s="63"/>
      <c r="T16" s="66">
        <f>+I16+Q16</f>
        <v>186274027.52000001</v>
      </c>
      <c r="U16" s="62"/>
      <c r="V16" s="66">
        <v>0</v>
      </c>
      <c r="W16" s="62"/>
      <c r="X16" s="66">
        <v>6970289.4400000004</v>
      </c>
      <c r="Y16" s="62"/>
      <c r="Z16" s="66">
        <v>0</v>
      </c>
      <c r="AA16" s="65"/>
      <c r="AB16" s="66">
        <f>+T16+V16+X16+Z16</f>
        <v>193244316.96000001</v>
      </c>
    </row>
    <row r="17" spans="1:28">
      <c r="A17" s="8"/>
      <c r="C17" s="26"/>
      <c r="D17" s="17"/>
      <c r="E17" s="19"/>
      <c r="G17" s="19"/>
      <c r="I17" s="19"/>
      <c r="K17" s="20"/>
      <c r="M17" s="19"/>
      <c r="N17" s="19"/>
      <c r="O17" s="19"/>
      <c r="Q17" s="19"/>
      <c r="R17" s="19"/>
      <c r="T17" s="19"/>
      <c r="U17" s="19"/>
      <c r="V17" s="19"/>
      <c r="X17" s="19"/>
      <c r="Z17" s="19"/>
      <c r="AB17" s="19"/>
    </row>
    <row r="18" spans="1:28" ht="18.75" thickBot="1">
      <c r="A18" s="5">
        <v>3</v>
      </c>
      <c r="B18" s="36"/>
      <c r="C18" s="26" t="s">
        <v>63</v>
      </c>
      <c r="D18" s="17"/>
      <c r="E18" s="42">
        <f>SUM(E12:E17)</f>
        <v>222323743.59999999</v>
      </c>
      <c r="G18" s="42">
        <f>SUM(G12:G17)</f>
        <v>-49614949.827597037</v>
      </c>
      <c r="I18" s="42">
        <f>SUM(I12:I17)</f>
        <v>172708793.77240294</v>
      </c>
      <c r="K18" s="19"/>
      <c r="M18" s="42">
        <f>SUM(M12:M17)</f>
        <v>0</v>
      </c>
      <c r="N18" s="19"/>
      <c r="O18" s="42">
        <f>SUM(O12:O17)</f>
        <v>23268590.937597066</v>
      </c>
      <c r="Q18" s="42">
        <f>SUM(Q12:Q17)</f>
        <v>23268590.937597066</v>
      </c>
      <c r="R18" s="31" t="s">
        <v>301</v>
      </c>
      <c r="T18" s="42">
        <f>SUM(T12:T17)</f>
        <v>195977384.71000001</v>
      </c>
      <c r="U18" s="19"/>
      <c r="V18" s="42">
        <f>SUM(V12:V17)</f>
        <v>0</v>
      </c>
      <c r="X18" s="42">
        <f>SUM(X12:X17)</f>
        <v>7299487.0100000007</v>
      </c>
      <c r="Z18" s="42">
        <f>SUM(Z12:Z17)</f>
        <v>0</v>
      </c>
      <c r="AB18" s="42">
        <f>SUM(AB12:AB17)</f>
        <v>203276871.72</v>
      </c>
    </row>
    <row r="19" spans="1:28" ht="13.5" thickTop="1"/>
    <row r="20" spans="1:28">
      <c r="B20" s="21" t="s">
        <v>298</v>
      </c>
      <c r="C20" s="1" t="s">
        <v>302</v>
      </c>
    </row>
    <row r="21" spans="1:28">
      <c r="B21" s="21" t="s">
        <v>300</v>
      </c>
      <c r="C21" s="1" t="s">
        <v>303</v>
      </c>
    </row>
  </sheetData>
  <mergeCells count="4">
    <mergeCell ref="A1:AB1"/>
    <mergeCell ref="A2:AB2"/>
    <mergeCell ref="A3:AB3"/>
    <mergeCell ref="K8:O8"/>
  </mergeCells>
  <printOptions horizontalCentered="1"/>
  <pageMargins left="1" right="1" top="1" bottom="1" header="0.3" footer="0.3"/>
  <pageSetup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>
    <pageSetUpPr fitToPage="1"/>
  </sheetPr>
  <dimension ref="A1:AD17"/>
  <sheetViews>
    <sheetView tabSelected="1" zoomScaleNormal="100" workbookViewId="0">
      <selection activeCell="C12" sqref="C12"/>
    </sheetView>
  </sheetViews>
  <sheetFormatPr defaultColWidth="9.75" defaultRowHeight="12.75"/>
  <cols>
    <col min="1" max="1" width="7.25" style="1" customWidth="1"/>
    <col min="2" max="2" width="1.75" style="1" customWidth="1"/>
    <col min="3" max="3" width="6.125" style="1" customWidth="1"/>
    <col min="4" max="4" width="2.375" style="1" customWidth="1"/>
    <col min="5" max="5" width="71.25" style="1" bestFit="1" customWidth="1"/>
    <col min="6" max="6" width="2.75" style="1" customWidth="1"/>
    <col min="7" max="7" width="11.875" style="1" bestFit="1" customWidth="1"/>
    <col min="8" max="8" width="1.75" style="1" customWidth="1"/>
    <col min="9" max="9" width="12.125" style="1" bestFit="1" customWidth="1"/>
    <col min="10" max="10" width="1.375" style="1" customWidth="1"/>
    <col min="11" max="11" width="11.875" style="1" customWidth="1"/>
    <col min="12" max="12" width="1.125" style="1" customWidth="1"/>
    <col min="13" max="13" width="9.25" style="1" customWidth="1"/>
    <col min="14" max="14" width="1.75" style="1" customWidth="1"/>
    <col min="15" max="15" width="11.25" style="1" hidden="1" customWidth="1"/>
    <col min="16" max="16" width="2" style="1" hidden="1" customWidth="1"/>
    <col min="17" max="17" width="10.75" style="1" customWidth="1"/>
    <col min="18" max="18" width="1.375" style="1" customWidth="1"/>
    <col min="19" max="19" width="11.125" style="1" bestFit="1" customWidth="1"/>
    <col min="20" max="20" width="4.125" style="1" customWidth="1"/>
    <col min="21" max="21" width="2" style="1" customWidth="1"/>
    <col min="22" max="22" width="12.125" style="1" customWidth="1"/>
    <col min="23" max="23" width="0.75" style="1" customWidth="1"/>
    <col min="24" max="24" width="10.75" style="1" hidden="1" customWidth="1"/>
    <col min="25" max="25" width="1.75" style="1" hidden="1" customWidth="1"/>
    <col min="26" max="26" width="10.875" style="1" bestFit="1" customWidth="1"/>
    <col min="27" max="27" width="1.75" style="1" hidden="1" customWidth="1"/>
    <col min="28" max="28" width="0" style="1" hidden="1" customWidth="1"/>
    <col min="29" max="29" width="0.75" style="1" customWidth="1"/>
    <col min="30" max="30" width="12" style="1" customWidth="1"/>
    <col min="31" max="16384" width="9.75" style="1"/>
  </cols>
  <sheetData>
    <row r="1" spans="1:30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</row>
    <row r="2" spans="1:30">
      <c r="A2" s="231" t="s">
        <v>304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</row>
    <row r="3" spans="1:30">
      <c r="A3" s="231" t="str">
        <f>+OthOpRev451_454_456!A3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</row>
    <row r="6" spans="1:30">
      <c r="A6" s="47"/>
      <c r="B6" s="47"/>
      <c r="C6" s="47"/>
      <c r="D6" s="47"/>
      <c r="E6" s="47"/>
      <c r="F6" s="47"/>
      <c r="G6" s="47"/>
      <c r="I6" s="47"/>
    </row>
    <row r="7" spans="1:30">
      <c r="A7" s="2">
        <v>-1</v>
      </c>
      <c r="C7" s="2">
        <v>-2</v>
      </c>
      <c r="D7" s="2"/>
      <c r="E7" s="2">
        <v>-3</v>
      </c>
      <c r="F7" s="3"/>
      <c r="G7" s="2">
        <v>-4</v>
      </c>
      <c r="H7" s="2"/>
      <c r="I7" s="2">
        <v>-5</v>
      </c>
      <c r="J7" s="2"/>
      <c r="K7" s="2">
        <v>-6</v>
      </c>
      <c r="L7" s="2"/>
      <c r="M7" s="2">
        <v>-7</v>
      </c>
      <c r="N7" s="2"/>
      <c r="O7" s="2">
        <v>-8</v>
      </c>
      <c r="P7" s="2"/>
      <c r="Q7" s="2">
        <v>-8</v>
      </c>
      <c r="R7" s="2"/>
      <c r="S7" s="2">
        <v>-9</v>
      </c>
      <c r="T7" s="2"/>
      <c r="U7" s="2"/>
      <c r="V7" s="2">
        <v>-10</v>
      </c>
      <c r="X7" s="2">
        <v>-12</v>
      </c>
      <c r="Y7" s="4"/>
      <c r="Z7" s="2">
        <v>-11</v>
      </c>
      <c r="AA7" s="2"/>
      <c r="AB7" s="2">
        <v>-14</v>
      </c>
      <c r="AD7" s="2">
        <v>-12</v>
      </c>
    </row>
    <row r="8" spans="1:30">
      <c r="G8" s="5"/>
      <c r="H8" s="3"/>
      <c r="I8" s="3"/>
      <c r="J8" s="3"/>
      <c r="L8" s="3"/>
      <c r="M8" s="232" t="s">
        <v>3</v>
      </c>
      <c r="N8" s="232"/>
      <c r="O8" s="232"/>
      <c r="P8" s="232"/>
      <c r="Q8" s="232"/>
      <c r="R8" s="6"/>
      <c r="S8" s="3"/>
      <c r="T8" s="3"/>
      <c r="U8" s="3"/>
      <c r="V8" s="8">
        <v>2025</v>
      </c>
      <c r="W8" s="3"/>
      <c r="X8" s="3"/>
      <c r="Y8" s="5"/>
      <c r="Z8" s="5"/>
      <c r="AA8" s="5"/>
      <c r="AC8" s="5"/>
    </row>
    <row r="9" spans="1:30">
      <c r="A9" s="8" t="s">
        <v>5</v>
      </c>
      <c r="B9" s="8"/>
      <c r="G9" s="8">
        <v>2024</v>
      </c>
      <c r="H9" s="3"/>
      <c r="I9" s="8">
        <v>2024</v>
      </c>
      <c r="J9" s="3"/>
      <c r="K9" s="8">
        <v>2024</v>
      </c>
      <c r="L9" s="6"/>
      <c r="M9" s="8">
        <v>2024</v>
      </c>
      <c r="N9" s="6"/>
      <c r="O9" s="6" t="s">
        <v>6</v>
      </c>
      <c r="P9" s="6"/>
      <c r="Q9" s="6"/>
      <c r="R9" s="6"/>
      <c r="S9" s="6"/>
      <c r="T9" s="6" t="s">
        <v>7</v>
      </c>
      <c r="U9" s="6"/>
      <c r="V9" s="9" t="s">
        <v>8</v>
      </c>
      <c r="W9" s="6"/>
      <c r="X9" s="6"/>
      <c r="Y9" s="6"/>
      <c r="Z9" s="8"/>
      <c r="AA9" s="5"/>
      <c r="AB9" s="8" t="s">
        <v>9</v>
      </c>
      <c r="AC9" s="8"/>
      <c r="AD9" s="8">
        <v>2025</v>
      </c>
    </row>
    <row r="10" spans="1:30">
      <c r="A10" s="10" t="s">
        <v>10</v>
      </c>
      <c r="B10" s="8"/>
      <c r="C10" s="69"/>
      <c r="E10" s="10" t="s">
        <v>11</v>
      </c>
      <c r="G10" s="11" t="s">
        <v>12</v>
      </c>
      <c r="H10" s="3"/>
      <c r="I10" s="12" t="s">
        <v>13</v>
      </c>
      <c r="J10" s="6"/>
      <c r="K10" s="13" t="s">
        <v>14</v>
      </c>
      <c r="L10" s="6"/>
      <c r="M10" s="13" t="s">
        <v>14</v>
      </c>
      <c r="N10" s="6"/>
      <c r="O10" s="13" t="s">
        <v>15</v>
      </c>
      <c r="P10" s="6"/>
      <c r="Q10" s="14" t="s">
        <v>16</v>
      </c>
      <c r="R10" s="9"/>
      <c r="S10" s="13" t="s">
        <v>17</v>
      </c>
      <c r="T10" s="13" t="s">
        <v>10</v>
      </c>
      <c r="U10" s="6"/>
      <c r="V10" s="14" t="s">
        <v>18</v>
      </c>
      <c r="W10" s="6"/>
      <c r="X10" s="13" t="s">
        <v>19</v>
      </c>
      <c r="Y10" s="6"/>
      <c r="Z10" s="10" t="s">
        <v>20</v>
      </c>
      <c r="AA10" s="8"/>
      <c r="AB10" s="10" t="s">
        <v>21</v>
      </c>
      <c r="AC10" s="8"/>
      <c r="AD10" s="10" t="s">
        <v>18</v>
      </c>
    </row>
    <row r="12" spans="1:30">
      <c r="A12" s="8">
        <v>1</v>
      </c>
      <c r="C12" s="8">
        <v>406</v>
      </c>
      <c r="D12" s="8"/>
      <c r="E12" s="21" t="s">
        <v>305</v>
      </c>
      <c r="G12" s="24"/>
      <c r="I12" s="24"/>
      <c r="K12" s="24"/>
      <c r="O12" s="24"/>
      <c r="P12" s="24"/>
      <c r="Q12" s="24"/>
      <c r="S12" s="24"/>
      <c r="T12" s="24"/>
      <c r="X12" s="24"/>
      <c r="Y12" s="24"/>
      <c r="Z12" s="24"/>
      <c r="AB12" s="24"/>
      <c r="AD12" s="24"/>
    </row>
    <row r="13" spans="1:30">
      <c r="A13" s="8"/>
      <c r="E13" s="26" t="s">
        <v>306</v>
      </c>
      <c r="G13" s="19">
        <v>15017.88</v>
      </c>
      <c r="I13" s="19">
        <v>0</v>
      </c>
      <c r="J13" s="19"/>
      <c r="K13" s="19">
        <f>SUM(G13:J13)</f>
        <v>15017.88</v>
      </c>
      <c r="L13" s="19"/>
      <c r="M13" s="20" t="s">
        <v>24</v>
      </c>
      <c r="N13" s="19"/>
      <c r="O13" s="19">
        <v>0</v>
      </c>
      <c r="P13" s="19"/>
      <c r="Q13" s="19">
        <v>0</v>
      </c>
      <c r="R13" s="19"/>
      <c r="S13" s="19">
        <f>+O13+Q13</f>
        <v>0</v>
      </c>
      <c r="T13" s="19"/>
      <c r="U13" s="19"/>
      <c r="V13" s="19">
        <f>+K13+S13</f>
        <v>15017.88</v>
      </c>
      <c r="W13" s="19"/>
      <c r="X13" s="19">
        <v>0</v>
      </c>
      <c r="Y13" s="19"/>
      <c r="Z13" s="19">
        <v>0</v>
      </c>
      <c r="AA13" s="19"/>
      <c r="AB13" s="19">
        <v>0</v>
      </c>
      <c r="AC13" s="19"/>
      <c r="AD13" s="19">
        <f>+V13+X13+Z13+AB13</f>
        <v>15017.88</v>
      </c>
    </row>
    <row r="14" spans="1:30">
      <c r="A14" s="8"/>
      <c r="C14" s="8"/>
      <c r="E14" s="17" t="s">
        <v>307</v>
      </c>
      <c r="G14" s="27"/>
      <c r="H14" s="24"/>
      <c r="I14" s="27"/>
      <c r="J14" s="24"/>
      <c r="K14" s="27"/>
      <c r="L14" s="24"/>
      <c r="M14" s="24"/>
      <c r="N14" s="24"/>
      <c r="O14" s="27"/>
      <c r="P14" s="24"/>
      <c r="Q14" s="27"/>
      <c r="R14" s="24"/>
      <c r="S14" s="27"/>
      <c r="T14" s="24"/>
      <c r="U14" s="24"/>
      <c r="V14" s="27"/>
      <c r="W14" s="24"/>
      <c r="X14" s="27"/>
      <c r="Y14" s="24"/>
      <c r="Z14" s="27"/>
      <c r="AA14" s="24"/>
      <c r="AB14" s="27"/>
      <c r="AC14" s="24"/>
      <c r="AD14" s="27"/>
    </row>
    <row r="15" spans="1:30" ht="18.75" thickBot="1">
      <c r="A15" s="8">
        <v>2</v>
      </c>
      <c r="B15" s="36"/>
      <c r="E15" s="26" t="s">
        <v>63</v>
      </c>
      <c r="G15" s="42">
        <f>SUM(G12:G13)</f>
        <v>15017.88</v>
      </c>
      <c r="I15" s="42">
        <f>SUM(I12:I13)</f>
        <v>0</v>
      </c>
      <c r="K15" s="42">
        <f>SUM(K12:K13)</f>
        <v>15017.88</v>
      </c>
      <c r="M15" s="19"/>
      <c r="O15" s="42">
        <f>SUM(O12:O13)</f>
        <v>0</v>
      </c>
      <c r="P15" s="19"/>
      <c r="Q15" s="42">
        <f>SUM(Q12:Q13)</f>
        <v>0</v>
      </c>
      <c r="S15" s="42">
        <f>SUM(S12:S13)</f>
        <v>0</v>
      </c>
      <c r="T15" s="31" t="s">
        <v>308</v>
      </c>
      <c r="V15" s="42">
        <f>SUM(V12:V13)</f>
        <v>15017.88</v>
      </c>
      <c r="X15" s="42">
        <f>SUM(X12:X13)</f>
        <v>0</v>
      </c>
      <c r="Y15" s="19"/>
      <c r="Z15" s="42">
        <f>SUM(Z12:Z13)</f>
        <v>0</v>
      </c>
      <c r="AB15" s="42">
        <f>SUM(AB12:AB13)</f>
        <v>0</v>
      </c>
      <c r="AD15" s="42">
        <f>SUM(AD12:AD13)</f>
        <v>15017.88</v>
      </c>
    </row>
    <row r="16" spans="1:30" ht="13.5" thickTop="1">
      <c r="E16" s="26"/>
    </row>
    <row r="17" spans="1:30" ht="13.5" thickBot="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</row>
  </sheetData>
  <mergeCells count="4">
    <mergeCell ref="A1:AD1"/>
    <mergeCell ref="A2:AD2"/>
    <mergeCell ref="A3:AD3"/>
    <mergeCell ref="M8:Q8"/>
  </mergeCells>
  <phoneticPr fontId="0" type="noConversion"/>
  <printOptions horizontalCentered="1"/>
  <pageMargins left="1" right="1" top="1" bottom="1" header="0.3" footer="0.3"/>
  <pageSetup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9">
    <pageSetUpPr fitToPage="1"/>
  </sheetPr>
  <dimension ref="A1:AC31"/>
  <sheetViews>
    <sheetView tabSelected="1" topLeftCell="B4" zoomScale="90" zoomScaleNormal="90" workbookViewId="0">
      <selection activeCell="C12" sqref="C12"/>
    </sheetView>
  </sheetViews>
  <sheetFormatPr defaultColWidth="9.75" defaultRowHeight="12.75"/>
  <cols>
    <col min="1" max="1" width="5.375" style="1" customWidth="1"/>
    <col min="2" max="2" width="2.75" style="1" customWidth="1"/>
    <col min="3" max="3" width="46" style="1" customWidth="1"/>
    <col min="4" max="4" width="1.25" style="1" customWidth="1"/>
    <col min="5" max="5" width="12.875" style="1" customWidth="1"/>
    <col min="6" max="6" width="1.125" style="1" customWidth="1"/>
    <col min="7" max="7" width="11.375" style="1" customWidth="1"/>
    <col min="8" max="8" width="1.375" style="1" customWidth="1"/>
    <col min="9" max="9" width="16.75" style="1" customWidth="1"/>
    <col min="10" max="10" width="0.375" style="1" customWidth="1"/>
    <col min="11" max="11" width="9.25" style="1" customWidth="1"/>
    <col min="12" max="12" width="1.375" style="1" hidden="1" customWidth="1"/>
    <col min="13" max="13" width="9.75" style="1" hidden="1" customWidth="1"/>
    <col min="14" max="14" width="1.75" style="1" customWidth="1"/>
    <col min="15" max="15" width="12.875" style="1" bestFit="1" customWidth="1"/>
    <col min="16" max="16" width="1.25" style="1" customWidth="1"/>
    <col min="17" max="17" width="12.875" style="1" bestFit="1" customWidth="1"/>
    <col min="18" max="18" width="5" style="1" customWidth="1"/>
    <col min="19" max="19" width="1.375" style="1" customWidth="1"/>
    <col min="20" max="20" width="13.375" style="1" customWidth="1"/>
    <col min="21" max="21" width="1.75" style="1" customWidth="1"/>
    <col min="22" max="22" width="9.375" style="1" hidden="1" customWidth="1"/>
    <col min="23" max="23" width="1.375" style="1" hidden="1" customWidth="1"/>
    <col min="24" max="24" width="9.75" style="1" bestFit="1" customWidth="1"/>
    <col min="25" max="25" width="2.125" style="1" hidden="1" customWidth="1"/>
    <col min="26" max="26" width="11.75" style="1" hidden="1" customWidth="1"/>
    <col min="27" max="27" width="1.375" style="1" customWidth="1"/>
    <col min="28" max="28" width="12.75" style="1" customWidth="1"/>
    <col min="29" max="29" width="13.125" style="1" bestFit="1" customWidth="1"/>
    <col min="30" max="16384" width="9.75" style="1"/>
  </cols>
  <sheetData>
    <row r="1" spans="1:29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</row>
    <row r="2" spans="1:29">
      <c r="A2" s="231" t="s">
        <v>309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</row>
    <row r="3" spans="1:29">
      <c r="A3" s="231" t="str">
        <f>+OthOpRev451_454_456!A3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</row>
    <row r="7" spans="1:29">
      <c r="A7" s="2">
        <v>-1</v>
      </c>
      <c r="C7" s="2">
        <v>-2</v>
      </c>
      <c r="D7" s="2"/>
      <c r="E7" s="2">
        <v>-3</v>
      </c>
      <c r="F7" s="3"/>
      <c r="G7" s="2">
        <v>-4</v>
      </c>
      <c r="H7" s="2"/>
      <c r="I7" s="2">
        <v>-5</v>
      </c>
      <c r="J7" s="2"/>
      <c r="K7" s="2">
        <v>-6</v>
      </c>
      <c r="L7" s="2"/>
      <c r="M7" s="2">
        <v>-7</v>
      </c>
      <c r="N7" s="2"/>
      <c r="O7" s="2">
        <v>-7</v>
      </c>
      <c r="P7" s="2"/>
      <c r="Q7" s="2">
        <v>-8</v>
      </c>
      <c r="R7" s="2"/>
      <c r="S7" s="2"/>
      <c r="T7" s="2">
        <v>-9</v>
      </c>
      <c r="U7" s="2"/>
      <c r="V7" s="2">
        <v>-11</v>
      </c>
      <c r="X7" s="2">
        <v>-10</v>
      </c>
      <c r="Y7" s="4"/>
      <c r="Z7" s="2">
        <v>-13</v>
      </c>
      <c r="AA7" s="2"/>
      <c r="AB7" s="2">
        <v>-11</v>
      </c>
    </row>
    <row r="8" spans="1:29">
      <c r="E8" s="5"/>
      <c r="F8" s="3"/>
      <c r="G8" s="3"/>
      <c r="H8" s="3"/>
      <c r="J8" s="3"/>
      <c r="K8" s="232" t="s">
        <v>3</v>
      </c>
      <c r="L8" s="232"/>
      <c r="M8" s="232"/>
      <c r="N8" s="232"/>
      <c r="O8" s="232"/>
      <c r="P8" s="6"/>
      <c r="Q8" s="3"/>
      <c r="R8" s="3"/>
      <c r="S8" s="3"/>
      <c r="T8" s="7" t="s">
        <v>4</v>
      </c>
      <c r="U8" s="3"/>
      <c r="V8" s="3"/>
      <c r="W8" s="5"/>
      <c r="X8" s="5"/>
      <c r="Y8" s="5"/>
      <c r="AA8" s="5"/>
    </row>
    <row r="9" spans="1:29">
      <c r="A9" s="8" t="s">
        <v>5</v>
      </c>
      <c r="B9" s="8"/>
      <c r="E9" s="5">
        <v>2024</v>
      </c>
      <c r="F9" s="3"/>
      <c r="G9" s="5">
        <v>2024</v>
      </c>
      <c r="H9" s="3"/>
      <c r="I9" s="5">
        <v>2024</v>
      </c>
      <c r="J9" s="6"/>
      <c r="K9" s="5">
        <v>2024</v>
      </c>
      <c r="L9" s="6"/>
      <c r="M9" s="6" t="s">
        <v>6</v>
      </c>
      <c r="N9" s="6"/>
      <c r="O9" s="6"/>
      <c r="P9" s="6"/>
      <c r="Q9" s="6"/>
      <c r="R9" s="6" t="s">
        <v>7</v>
      </c>
      <c r="S9" s="6"/>
      <c r="T9" s="9" t="s">
        <v>8</v>
      </c>
      <c r="U9" s="6"/>
      <c r="V9" s="6"/>
      <c r="W9" s="6"/>
      <c r="X9" s="8"/>
      <c r="Y9" s="5"/>
      <c r="Z9" s="8" t="s">
        <v>9</v>
      </c>
      <c r="AA9" s="8"/>
      <c r="AB9" s="5" t="s">
        <v>4</v>
      </c>
    </row>
    <row r="10" spans="1:29">
      <c r="A10" s="10" t="s">
        <v>10</v>
      </c>
      <c r="B10" s="8"/>
      <c r="C10" s="10" t="s">
        <v>11</v>
      </c>
      <c r="E10" s="11" t="s">
        <v>12</v>
      </c>
      <c r="F10" s="3"/>
      <c r="G10" s="11" t="s">
        <v>13</v>
      </c>
      <c r="H10" s="6"/>
      <c r="I10" s="13" t="s">
        <v>14</v>
      </c>
      <c r="J10" s="6"/>
      <c r="K10" s="13" t="s">
        <v>14</v>
      </c>
      <c r="L10" s="6"/>
      <c r="M10" s="13" t="s">
        <v>15</v>
      </c>
      <c r="N10" s="6"/>
      <c r="O10" s="14" t="s">
        <v>16</v>
      </c>
      <c r="P10" s="9"/>
      <c r="Q10" s="13" t="s">
        <v>17</v>
      </c>
      <c r="R10" s="13" t="s">
        <v>10</v>
      </c>
      <c r="S10" s="6"/>
      <c r="T10" s="14" t="s">
        <v>18</v>
      </c>
      <c r="U10" s="6"/>
      <c r="V10" s="13" t="s">
        <v>19</v>
      </c>
      <c r="W10" s="6"/>
      <c r="X10" s="10" t="s">
        <v>20</v>
      </c>
      <c r="Y10" s="8"/>
      <c r="Z10" s="10" t="s">
        <v>21</v>
      </c>
      <c r="AA10" s="8"/>
      <c r="AB10" s="10" t="s">
        <v>18</v>
      </c>
    </row>
    <row r="11" spans="1:29">
      <c r="A11" s="8"/>
      <c r="B11" s="8"/>
      <c r="D11" s="68"/>
      <c r="E11" s="68"/>
      <c r="F11" s="68"/>
      <c r="G11" s="68"/>
      <c r="H11" s="68"/>
    </row>
    <row r="12" spans="1:29">
      <c r="A12" s="21" t="s">
        <v>310</v>
      </c>
      <c r="B12" s="17"/>
    </row>
    <row r="13" spans="1:29">
      <c r="E13" s="19"/>
      <c r="G13" s="19"/>
      <c r="I13" s="20"/>
      <c r="K13" s="19"/>
      <c r="L13" s="19"/>
      <c r="M13" s="19"/>
      <c r="O13" s="19"/>
      <c r="P13" s="19"/>
      <c r="Q13" s="19"/>
      <c r="R13" s="19"/>
      <c r="T13" s="19"/>
      <c r="V13" s="19"/>
      <c r="X13" s="19"/>
      <c r="Z13" s="19"/>
      <c r="AA13" s="19"/>
      <c r="AB13" s="19"/>
    </row>
    <row r="14" spans="1:29">
      <c r="B14" s="1" t="s">
        <v>311</v>
      </c>
      <c r="E14" s="19"/>
      <c r="G14" s="19"/>
      <c r="I14" s="20"/>
      <c r="K14" s="19"/>
      <c r="L14" s="19"/>
      <c r="M14" s="19"/>
      <c r="O14" s="19"/>
      <c r="P14" s="19"/>
      <c r="Q14" s="19"/>
      <c r="R14" s="19"/>
      <c r="T14" s="19"/>
      <c r="V14" s="19"/>
      <c r="X14" s="19"/>
      <c r="Z14" s="19"/>
      <c r="AA14" s="19"/>
      <c r="AB14" s="19"/>
    </row>
    <row r="15" spans="1:29">
      <c r="A15" s="8">
        <v>1</v>
      </c>
      <c r="B15" s="8"/>
      <c r="C15" s="26" t="s">
        <v>312</v>
      </c>
      <c r="D15" s="8"/>
      <c r="E15" s="19">
        <v>1075354</v>
      </c>
      <c r="G15" s="19">
        <v>0</v>
      </c>
      <c r="H15" s="19"/>
      <c r="I15" s="19">
        <f>SUM(E15:H15)</f>
        <v>1075354</v>
      </c>
      <c r="J15" s="19"/>
      <c r="K15" s="19" t="s">
        <v>24</v>
      </c>
      <c r="L15" s="19"/>
      <c r="M15" s="19">
        <v>0</v>
      </c>
      <c r="N15" s="19"/>
      <c r="O15" s="19">
        <v>0</v>
      </c>
      <c r="P15" s="19"/>
      <c r="Q15" s="19">
        <f>M15+O15</f>
        <v>0</v>
      </c>
      <c r="R15" s="19"/>
      <c r="S15" s="19"/>
      <c r="T15" s="19">
        <f>+I15+Q15</f>
        <v>1075354</v>
      </c>
      <c r="U15" s="19"/>
      <c r="V15" s="19">
        <v>0</v>
      </c>
      <c r="W15" s="19"/>
      <c r="X15" s="19">
        <v>0</v>
      </c>
      <c r="Y15" s="19"/>
      <c r="Z15" s="19">
        <v>0</v>
      </c>
      <c r="AA15" s="19"/>
      <c r="AB15" s="19">
        <f>+T15+V15+X15+Z15</f>
        <v>1075354</v>
      </c>
      <c r="AC15" s="54"/>
    </row>
    <row r="16" spans="1:29">
      <c r="A16" s="8"/>
      <c r="B16" s="8"/>
      <c r="C16" s="26"/>
      <c r="D16" s="8"/>
      <c r="E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54"/>
    </row>
    <row r="17" spans="1:29">
      <c r="A17" s="8">
        <v>2</v>
      </c>
      <c r="B17" s="8"/>
      <c r="C17" s="26" t="s">
        <v>313</v>
      </c>
      <c r="D17" s="8"/>
      <c r="E17" s="19">
        <v>175785</v>
      </c>
      <c r="G17" s="19">
        <v>191050</v>
      </c>
      <c r="H17" s="19"/>
      <c r="I17" s="19">
        <f t="shared" ref="I17" si="0">SUM(E17:H17)</f>
        <v>366835</v>
      </c>
      <c r="J17" s="19"/>
      <c r="K17" s="19"/>
      <c r="L17" s="19"/>
      <c r="M17" s="19"/>
      <c r="N17" s="19"/>
      <c r="O17" s="19">
        <v>-75954</v>
      </c>
      <c r="P17" s="19"/>
      <c r="Q17" s="19">
        <f>M17+O17</f>
        <v>-75954</v>
      </c>
      <c r="R17" s="19"/>
      <c r="S17" s="19"/>
      <c r="T17" s="19">
        <f>+I17+Q17</f>
        <v>290881</v>
      </c>
      <c r="U17" s="19"/>
      <c r="V17" s="19"/>
      <c r="W17" s="19"/>
      <c r="X17" s="19">
        <v>0</v>
      </c>
      <c r="Y17" s="19"/>
      <c r="Z17" s="19"/>
      <c r="AA17" s="19"/>
      <c r="AB17" s="19">
        <f>+T17+V17+X17+Z17</f>
        <v>290881</v>
      </c>
      <c r="AC17" s="54"/>
    </row>
    <row r="18" spans="1:29">
      <c r="A18" s="8"/>
      <c r="B18" s="8"/>
      <c r="C18" s="26"/>
      <c r="D18" s="8"/>
      <c r="E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54"/>
    </row>
    <row r="19" spans="1:29">
      <c r="A19" s="8">
        <v>3</v>
      </c>
      <c r="B19" s="8"/>
      <c r="C19" s="26" t="s">
        <v>314</v>
      </c>
      <c r="D19" s="8"/>
      <c r="E19" s="38">
        <v>3811175</v>
      </c>
      <c r="G19" s="38">
        <v>0</v>
      </c>
      <c r="H19" s="19"/>
      <c r="I19" s="38">
        <f t="shared" ref="I19" si="1">SUM(E19:H19)</f>
        <v>3811175</v>
      </c>
      <c r="J19" s="19"/>
      <c r="K19" s="19"/>
      <c r="L19" s="19"/>
      <c r="M19" s="19"/>
      <c r="N19" s="19"/>
      <c r="O19" s="38">
        <v>10478275.880000001</v>
      </c>
      <c r="P19" s="19"/>
      <c r="Q19" s="38">
        <f>+K19+M19+O19</f>
        <v>10478275.880000001</v>
      </c>
      <c r="R19" s="19"/>
      <c r="S19" s="19"/>
      <c r="T19" s="38">
        <f>+I19+Q19</f>
        <v>14289450.880000001</v>
      </c>
      <c r="U19" s="19"/>
      <c r="V19" s="19"/>
      <c r="W19" s="19"/>
      <c r="X19" s="38">
        <v>0</v>
      </c>
      <c r="Y19" s="19"/>
      <c r="Z19" s="19"/>
      <c r="AA19" s="19"/>
      <c r="AB19" s="38">
        <f>+T19+V19+X19+Z19</f>
        <v>14289450.880000001</v>
      </c>
      <c r="AC19" s="54"/>
    </row>
    <row r="20" spans="1:29">
      <c r="A20" s="8"/>
      <c r="B20" s="8"/>
      <c r="C20" s="26"/>
      <c r="D20" s="8"/>
      <c r="E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9">
      <c r="A21" s="8">
        <v>4</v>
      </c>
      <c r="B21" s="8"/>
      <c r="C21" s="26" t="s">
        <v>315</v>
      </c>
      <c r="D21" s="8"/>
      <c r="E21" s="19">
        <f>SUM(E15:E19)</f>
        <v>5062314</v>
      </c>
      <c r="F21" s="19"/>
      <c r="G21" s="19">
        <f>SUM(G15:G19)</f>
        <v>191050</v>
      </c>
      <c r="H21" s="19"/>
      <c r="I21" s="19">
        <f>SUM(I15:I19)</f>
        <v>5253364</v>
      </c>
      <c r="J21" s="19"/>
      <c r="K21" s="19"/>
      <c r="L21" s="19"/>
      <c r="M21" s="19"/>
      <c r="N21" s="19"/>
      <c r="O21" s="19">
        <f>SUM(O15:O19)</f>
        <v>10402321.880000001</v>
      </c>
      <c r="P21" s="19"/>
      <c r="Q21" s="19">
        <f>SUM(Q15:Q19)</f>
        <v>10402321.880000001</v>
      </c>
      <c r="R21" s="19"/>
      <c r="S21" s="19"/>
      <c r="T21" s="19">
        <f>SUM(T15:T19)</f>
        <v>15655685.880000001</v>
      </c>
      <c r="U21" s="19"/>
      <c r="V21" s="19">
        <f>SUM(V15:V17)</f>
        <v>0</v>
      </c>
      <c r="W21" s="19">
        <f>SUM(W15:W17)</f>
        <v>0</v>
      </c>
      <c r="X21" s="19">
        <f>SUM(X15:X19)</f>
        <v>0</v>
      </c>
      <c r="Y21" s="19">
        <f>SUM(Y15:Y17)</f>
        <v>0</v>
      </c>
      <c r="Z21" s="19">
        <f>SUM(Z15:Z17)</f>
        <v>0</v>
      </c>
      <c r="AA21" s="19"/>
      <c r="AB21" s="19">
        <f>SUM(AB15:AB19)</f>
        <v>15655685.880000001</v>
      </c>
    </row>
    <row r="22" spans="1:29">
      <c r="A22" s="8"/>
      <c r="B22" s="8"/>
      <c r="C22" s="26"/>
      <c r="D22" s="8"/>
      <c r="E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9">
      <c r="A23" s="8"/>
      <c r="B23" s="1" t="s">
        <v>316</v>
      </c>
      <c r="C23" s="26"/>
      <c r="D23" s="8"/>
      <c r="E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9">
      <c r="A24" s="8">
        <v>5</v>
      </c>
      <c r="C24" s="26" t="s">
        <v>317</v>
      </c>
      <c r="D24" s="8"/>
      <c r="E24" s="19">
        <v>243991</v>
      </c>
      <c r="G24" s="19">
        <v>0</v>
      </c>
      <c r="H24" s="19"/>
      <c r="I24" s="19">
        <f>SUM(E24:H24)</f>
        <v>243991</v>
      </c>
      <c r="J24" s="19"/>
      <c r="K24" s="19" t="s">
        <v>24</v>
      </c>
      <c r="L24" s="19"/>
      <c r="M24" s="19"/>
      <c r="N24" s="19"/>
      <c r="O24" s="19">
        <v>0</v>
      </c>
      <c r="P24" s="19"/>
      <c r="Q24" s="19">
        <f>+M24+O24</f>
        <v>0</v>
      </c>
      <c r="R24" s="19"/>
      <c r="S24" s="19"/>
      <c r="T24" s="19">
        <f>+I24+Q24</f>
        <v>243991</v>
      </c>
      <c r="U24" s="19"/>
      <c r="V24" s="19"/>
      <c r="W24" s="19"/>
      <c r="X24" s="19">
        <v>0</v>
      </c>
      <c r="Y24" s="19"/>
      <c r="Z24" s="19"/>
      <c r="AA24" s="19"/>
      <c r="AB24" s="19">
        <f>+T24+V24+X24+Z24</f>
        <v>243991</v>
      </c>
    </row>
    <row r="25" spans="1:29">
      <c r="A25" s="8"/>
      <c r="C25" s="26"/>
      <c r="D25" s="8"/>
      <c r="E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9">
      <c r="A26" s="8">
        <v>6</v>
      </c>
      <c r="C26" s="26" t="s">
        <v>318</v>
      </c>
      <c r="D26" s="8"/>
      <c r="E26" s="38">
        <v>83362</v>
      </c>
      <c r="F26" s="19"/>
      <c r="G26" s="38">
        <v>0</v>
      </c>
      <c r="H26" s="19"/>
      <c r="I26" s="38">
        <f t="shared" ref="I26" si="2">SUM(E26:H26)</f>
        <v>83362</v>
      </c>
      <c r="J26" s="19"/>
      <c r="K26" s="19" t="s">
        <v>24</v>
      </c>
      <c r="L26" s="19"/>
      <c r="M26" s="19"/>
      <c r="N26" s="19"/>
      <c r="O26" s="38">
        <v>0</v>
      </c>
      <c r="P26" s="19"/>
      <c r="Q26" s="38">
        <v>0</v>
      </c>
      <c r="R26" s="19"/>
      <c r="S26" s="19"/>
      <c r="T26" s="38">
        <f>+I26+Q26</f>
        <v>83362</v>
      </c>
      <c r="U26" s="19"/>
      <c r="V26" s="19"/>
      <c r="W26" s="19"/>
      <c r="X26" s="38">
        <v>0</v>
      </c>
      <c r="Y26" s="19"/>
      <c r="Z26" s="19"/>
      <c r="AA26" s="19"/>
      <c r="AB26" s="38">
        <f>+T26+V26+X26+Z26</f>
        <v>83362</v>
      </c>
    </row>
    <row r="27" spans="1:29">
      <c r="A27" s="8"/>
      <c r="C27" s="26"/>
      <c r="D27" s="8"/>
      <c r="E27" s="19"/>
      <c r="G27" s="19"/>
      <c r="H27" s="19"/>
      <c r="I27" s="19"/>
      <c r="J27" s="19"/>
      <c r="K27" s="19"/>
      <c r="L27" s="19"/>
      <c r="M27" s="19"/>
      <c r="N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9">
      <c r="A28" s="8">
        <v>7</v>
      </c>
      <c r="C28" s="26" t="s">
        <v>319</v>
      </c>
      <c r="D28" s="8"/>
      <c r="E28" s="38">
        <f>SUM(E24:E26)</f>
        <v>327353</v>
      </c>
      <c r="F28" s="19"/>
      <c r="G28" s="38">
        <f>SUM(G24:G26)</f>
        <v>0</v>
      </c>
      <c r="H28" s="19"/>
      <c r="I28" s="38">
        <f>SUM(I24:I26)</f>
        <v>327353</v>
      </c>
      <c r="J28" s="19"/>
      <c r="K28" s="19"/>
      <c r="L28" s="19"/>
      <c r="M28" s="19"/>
      <c r="N28" s="19"/>
      <c r="O28" s="38">
        <f>SUM(O24:O26)</f>
        <v>0</v>
      </c>
      <c r="P28" s="19"/>
      <c r="Q28" s="38">
        <f>SUM(Q24:Q26)</f>
        <v>0</v>
      </c>
      <c r="R28" s="19"/>
      <c r="S28" s="19"/>
      <c r="T28" s="38">
        <f>SUM(T24:T26)</f>
        <v>327353</v>
      </c>
      <c r="U28" s="19"/>
      <c r="V28" s="19">
        <f>SUM(V24:V26)</f>
        <v>0</v>
      </c>
      <c r="W28" s="19">
        <f>SUM(W24:W26)</f>
        <v>0</v>
      </c>
      <c r="X28" s="38">
        <f>SUM(X24:X26)</f>
        <v>0</v>
      </c>
      <c r="Y28" s="19">
        <f>SUM(Y24:Y26)</f>
        <v>0</v>
      </c>
      <c r="Z28" s="19">
        <f>SUM(Z24:Z26)</f>
        <v>0</v>
      </c>
      <c r="AA28" s="19"/>
      <c r="AB28" s="38">
        <f>SUM(AB24:AB26)</f>
        <v>327353</v>
      </c>
    </row>
    <row r="29" spans="1:29">
      <c r="A29" s="8"/>
      <c r="B29" s="8"/>
      <c r="C29" s="21"/>
      <c r="D29" s="131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9" ht="13.5" thickBot="1">
      <c r="A30" s="8">
        <v>8</v>
      </c>
      <c r="B30" s="8"/>
      <c r="C30" s="26" t="s">
        <v>63</v>
      </c>
      <c r="D30" s="30"/>
      <c r="E30" s="42">
        <f>E21+E28</f>
        <v>5389667</v>
      </c>
      <c r="F30" s="19"/>
      <c r="G30" s="42">
        <f>G21+G28</f>
        <v>191050</v>
      </c>
      <c r="H30" s="19"/>
      <c r="I30" s="42">
        <f>I21+I28</f>
        <v>5580717</v>
      </c>
      <c r="J30" s="130"/>
      <c r="K30" s="19"/>
      <c r="L30" s="42"/>
      <c r="M30" s="42">
        <f>SUM(M15:M29)</f>
        <v>0</v>
      </c>
      <c r="O30" s="42">
        <f>O21+O28</f>
        <v>10402321.880000001</v>
      </c>
      <c r="P30" s="19"/>
      <c r="Q30" s="42">
        <f>Q21+Q28</f>
        <v>10402321.880000001</v>
      </c>
      <c r="R30" s="53" t="s">
        <v>320</v>
      </c>
      <c r="T30" s="42">
        <f>T21+T28</f>
        <v>15983038.880000001</v>
      </c>
      <c r="V30" s="42">
        <f>SUM(V15:V29)</f>
        <v>0</v>
      </c>
      <c r="W30" s="130"/>
      <c r="X30" s="42">
        <f>X21+X28</f>
        <v>0</v>
      </c>
      <c r="Y30" s="130"/>
      <c r="Z30" s="42">
        <f>SUM(Z15:Z29)</f>
        <v>0</v>
      </c>
      <c r="AA30" s="19"/>
      <c r="AB30" s="42">
        <f>AB21+AB28</f>
        <v>15983038.880000001</v>
      </c>
    </row>
    <row r="31" spans="1:29" ht="13.5" thickTop="1">
      <c r="A31" s="8"/>
      <c r="B31" s="8"/>
      <c r="C31" s="17"/>
    </row>
  </sheetData>
  <mergeCells count="4">
    <mergeCell ref="A1:Z1"/>
    <mergeCell ref="A2:Z2"/>
    <mergeCell ref="A3:Z3"/>
    <mergeCell ref="K8:O8"/>
  </mergeCells>
  <phoneticPr fontId="0" type="noConversion"/>
  <printOptions horizontalCentered="1"/>
  <pageMargins left="1" right="1" top="1" bottom="1" header="0.3" footer="0.3"/>
  <pageSetup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FF9E-44CA-4770-AB38-047B6EE8E517}">
  <sheetPr>
    <pageSetUpPr fitToPage="1"/>
  </sheetPr>
  <dimension ref="A1:AI73"/>
  <sheetViews>
    <sheetView tabSelected="1" zoomScale="90" zoomScaleNormal="90" workbookViewId="0">
      <selection activeCell="C12" sqref="C12"/>
    </sheetView>
  </sheetViews>
  <sheetFormatPr defaultColWidth="9" defaultRowHeight="12.75"/>
  <cols>
    <col min="1" max="1" width="4.875" style="1" bestFit="1" customWidth="1"/>
    <col min="2" max="2" width="2.875" style="1" bestFit="1" customWidth="1"/>
    <col min="3" max="3" width="53.25" style="1" customWidth="1"/>
    <col min="4" max="4" width="15.375" style="1" customWidth="1"/>
    <col min="5" max="5" width="2.25" style="1" customWidth="1"/>
    <col min="6" max="6" width="15.375" style="1" customWidth="1"/>
    <col min="7" max="7" width="1.25" style="1" customWidth="1"/>
    <col min="8" max="8" width="15.375" style="1" customWidth="1"/>
    <col min="9" max="9" width="1.25" style="1" customWidth="1"/>
    <col min="10" max="10" width="9" style="1" customWidth="1"/>
    <col min="11" max="11" width="1.25" style="1" hidden="1" customWidth="1"/>
    <col min="12" max="12" width="13.125" style="1" hidden="1" customWidth="1"/>
    <col min="13" max="13" width="1.125" style="1" customWidth="1"/>
    <col min="14" max="14" width="14.375" style="1" customWidth="1"/>
    <col min="15" max="15" width="1.75" style="1" customWidth="1"/>
    <col min="16" max="16" width="14.75" style="1" customWidth="1"/>
    <col min="17" max="17" width="4.375" style="1" customWidth="1"/>
    <col min="18" max="18" width="1.875" style="1" customWidth="1"/>
    <col min="19" max="19" width="17" style="1" customWidth="1"/>
    <col min="20" max="20" width="1.375" style="1" customWidth="1"/>
    <col min="21" max="21" width="12.125" style="1" hidden="1" customWidth="1"/>
    <col min="22" max="22" width="1.75" style="1" hidden="1" customWidth="1"/>
    <col min="23" max="23" width="14" style="1" bestFit="1" customWidth="1"/>
    <col min="24" max="24" width="1.25" style="1" customWidth="1"/>
    <col min="25" max="25" width="10" style="1" hidden="1" customWidth="1"/>
    <col min="26" max="26" width="2.625" style="1" hidden="1" customWidth="1"/>
    <col min="27" max="27" width="15.75" style="1" customWidth="1"/>
    <col min="28" max="28" width="9" style="1" bestFit="1" customWidth="1"/>
    <col min="29" max="29" width="13.875" style="1" customWidth="1"/>
    <col min="30" max="33" width="9" style="1" bestFit="1" customWidth="1"/>
    <col min="34" max="34" width="12.125" style="1" bestFit="1" customWidth="1"/>
    <col min="35" max="35" width="9.125" style="1" bestFit="1" customWidth="1"/>
    <col min="36" max="16384" width="9" style="1"/>
  </cols>
  <sheetData>
    <row r="1" spans="1:27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</row>
    <row r="2" spans="1:27">
      <c r="A2" s="236" t="s">
        <v>321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</row>
    <row r="3" spans="1:27">
      <c r="A3" s="231" t="str">
        <f>+OthOpRev451_454_456!A3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</row>
    <row r="4" spans="1:27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</row>
    <row r="5" spans="1:27">
      <c r="A5" s="2">
        <v>-1</v>
      </c>
      <c r="C5" s="2">
        <v>-2</v>
      </c>
      <c r="D5" s="2">
        <v>-3</v>
      </c>
      <c r="E5" s="3"/>
      <c r="F5" s="2">
        <v>-4</v>
      </c>
      <c r="G5" s="2"/>
      <c r="H5" s="2">
        <v>-5</v>
      </c>
      <c r="I5" s="2"/>
      <c r="J5" s="2">
        <v>-6</v>
      </c>
      <c r="K5" s="2"/>
      <c r="L5" s="2">
        <v>-7</v>
      </c>
      <c r="M5" s="2"/>
      <c r="N5" s="2">
        <v>-7</v>
      </c>
      <c r="O5" s="2"/>
      <c r="P5" s="2">
        <v>-8</v>
      </c>
      <c r="Q5" s="2"/>
      <c r="R5" s="2"/>
      <c r="S5" s="2">
        <v>-9</v>
      </c>
      <c r="T5" s="2"/>
      <c r="U5" s="2">
        <v>-11</v>
      </c>
      <c r="W5" s="2">
        <v>-10</v>
      </c>
      <c r="X5" s="4"/>
      <c r="Y5" s="2">
        <v>-13</v>
      </c>
      <c r="Z5" s="2"/>
      <c r="AA5" s="2">
        <v>-11</v>
      </c>
    </row>
    <row r="6" spans="1:27">
      <c r="D6" s="8"/>
      <c r="E6" s="3"/>
      <c r="F6" s="3"/>
      <c r="G6" s="3"/>
      <c r="I6" s="3"/>
      <c r="J6" s="232" t="s">
        <v>3</v>
      </c>
      <c r="K6" s="232"/>
      <c r="L6" s="232"/>
      <c r="M6" s="232"/>
      <c r="N6" s="232"/>
      <c r="O6" s="6"/>
      <c r="P6" s="3"/>
      <c r="Q6" s="3"/>
      <c r="R6" s="3"/>
      <c r="S6" s="7" t="s">
        <v>4</v>
      </c>
      <c r="T6" s="3"/>
      <c r="U6" s="3"/>
      <c r="V6" s="8"/>
      <c r="W6" s="8"/>
      <c r="X6" s="8"/>
      <c r="Z6" s="8"/>
    </row>
    <row r="7" spans="1:27">
      <c r="A7" s="8" t="s">
        <v>5</v>
      </c>
      <c r="B7" s="8"/>
      <c r="D7" s="8">
        <v>2024</v>
      </c>
      <c r="E7" s="3"/>
      <c r="F7" s="8">
        <v>2024</v>
      </c>
      <c r="G7" s="3"/>
      <c r="H7" s="8">
        <v>2024</v>
      </c>
      <c r="I7" s="6"/>
      <c r="J7" s="8">
        <v>2024</v>
      </c>
      <c r="K7" s="6"/>
      <c r="L7" s="6" t="s">
        <v>6</v>
      </c>
      <c r="M7" s="6"/>
      <c r="N7" s="6"/>
      <c r="O7" s="6"/>
      <c r="P7" s="6"/>
      <c r="Q7" s="6" t="s">
        <v>7</v>
      </c>
      <c r="R7" s="6"/>
      <c r="S7" s="9" t="s">
        <v>8</v>
      </c>
      <c r="T7" s="6"/>
      <c r="U7" s="6"/>
      <c r="V7" s="6"/>
      <c r="W7" s="8"/>
      <c r="X7" s="8"/>
      <c r="Y7" s="8" t="s">
        <v>9</v>
      </c>
      <c r="Z7" s="8"/>
      <c r="AA7" s="5" t="s">
        <v>4</v>
      </c>
    </row>
    <row r="8" spans="1:27">
      <c r="A8" s="10" t="s">
        <v>10</v>
      </c>
      <c r="B8" s="8"/>
      <c r="C8" s="10" t="s">
        <v>11</v>
      </c>
      <c r="D8" s="11" t="s">
        <v>12</v>
      </c>
      <c r="E8" s="3"/>
      <c r="F8" s="12" t="s">
        <v>13</v>
      </c>
      <c r="G8" s="6"/>
      <c r="H8" s="13" t="s">
        <v>14</v>
      </c>
      <c r="I8" s="6"/>
      <c r="J8" s="13" t="s">
        <v>14</v>
      </c>
      <c r="K8" s="6"/>
      <c r="L8" s="13" t="s">
        <v>15</v>
      </c>
      <c r="M8" s="6"/>
      <c r="N8" s="14" t="s">
        <v>16</v>
      </c>
      <c r="O8" s="9"/>
      <c r="P8" s="13" t="s">
        <v>17</v>
      </c>
      <c r="Q8" s="13" t="s">
        <v>10</v>
      </c>
      <c r="R8" s="6"/>
      <c r="S8" s="14" t="s">
        <v>18</v>
      </c>
      <c r="T8" s="6"/>
      <c r="U8" s="13" t="s">
        <v>19</v>
      </c>
      <c r="V8" s="6"/>
      <c r="W8" s="10" t="s">
        <v>20</v>
      </c>
      <c r="X8" s="8"/>
      <c r="Y8" s="10" t="s">
        <v>21</v>
      </c>
      <c r="Z8" s="8"/>
      <c r="AA8" s="10" t="s">
        <v>18</v>
      </c>
    </row>
    <row r="9" spans="1:27">
      <c r="A9" s="71"/>
      <c r="B9" s="72"/>
    </row>
    <row r="10" spans="1:27">
      <c r="A10" s="71"/>
      <c r="B10" s="72"/>
      <c r="C10" s="72" t="s">
        <v>322</v>
      </c>
      <c r="D10" s="72"/>
    </row>
    <row r="11" spans="1:27">
      <c r="A11" s="71">
        <v>1</v>
      </c>
      <c r="B11" s="72"/>
      <c r="C11" s="73" t="s">
        <v>323</v>
      </c>
      <c r="D11" s="74">
        <v>95932.68</v>
      </c>
      <c r="E11" s="24"/>
      <c r="F11" s="74">
        <v>0</v>
      </c>
      <c r="G11" s="24"/>
      <c r="H11" s="19">
        <f>SUM(D11:G11)</f>
        <v>95932.68</v>
      </c>
      <c r="J11" s="25" t="s">
        <v>24</v>
      </c>
      <c r="K11" s="19"/>
      <c r="L11" s="74">
        <v>0</v>
      </c>
      <c r="N11" s="74">
        <v>0</v>
      </c>
      <c r="P11" s="19">
        <f>+L11+N11</f>
        <v>0</v>
      </c>
      <c r="Q11" s="19"/>
      <c r="S11" s="19">
        <f>+H11+P11</f>
        <v>95932.68</v>
      </c>
      <c r="T11" s="19"/>
      <c r="U11" s="19">
        <v>0</v>
      </c>
      <c r="V11" s="19"/>
      <c r="W11" s="19">
        <v>0</v>
      </c>
      <c r="Y11" s="19">
        <v>0</v>
      </c>
      <c r="AA11" s="19">
        <f>+S11+U11+W11+Y11</f>
        <v>95932.68</v>
      </c>
    </row>
    <row r="12" spans="1:27">
      <c r="A12" s="71">
        <v>2</v>
      </c>
      <c r="B12" s="72"/>
      <c r="C12" s="73" t="s">
        <v>324</v>
      </c>
      <c r="D12" s="75">
        <v>21673544.289999999</v>
      </c>
      <c r="E12" s="24"/>
      <c r="F12" s="27">
        <v>0</v>
      </c>
      <c r="G12" s="24"/>
      <c r="H12" s="27">
        <f>SUM(D12:G12)</f>
        <v>21673544.289999999</v>
      </c>
      <c r="I12" s="24"/>
      <c r="J12" s="25" t="s">
        <v>24</v>
      </c>
      <c r="K12" s="24"/>
      <c r="L12" s="75">
        <v>0</v>
      </c>
      <c r="M12" s="24"/>
      <c r="N12" s="75">
        <v>0</v>
      </c>
      <c r="O12" s="24"/>
      <c r="P12" s="27">
        <f>+L12+N12</f>
        <v>0</v>
      </c>
      <c r="Q12" s="24"/>
      <c r="R12" s="24"/>
      <c r="S12" s="27">
        <f>+H12+P12</f>
        <v>21673544.289999999</v>
      </c>
      <c r="T12" s="24"/>
      <c r="U12" s="27">
        <v>0</v>
      </c>
      <c r="V12" s="24"/>
      <c r="W12" s="27">
        <v>0</v>
      </c>
      <c r="X12" s="24"/>
      <c r="Y12" s="27">
        <v>0</v>
      </c>
      <c r="Z12" s="24"/>
      <c r="AA12" s="27">
        <f>+S12+U12+W12+Y12</f>
        <v>21673544.289999999</v>
      </c>
    </row>
    <row r="13" spans="1:27">
      <c r="A13" s="71">
        <v>3</v>
      </c>
      <c r="B13" s="72"/>
      <c r="C13" s="73" t="s">
        <v>325</v>
      </c>
      <c r="D13" s="76">
        <f>SUM(D11:D12)</f>
        <v>21769476.969999999</v>
      </c>
      <c r="E13" s="24"/>
      <c r="F13" s="76">
        <f>SUM(F11:F12)</f>
        <v>0</v>
      </c>
      <c r="G13" s="24"/>
      <c r="H13" s="76">
        <f>SUM(H11:H12)</f>
        <v>21769476.969999999</v>
      </c>
      <c r="I13" s="24"/>
      <c r="J13" s="77"/>
      <c r="K13" s="24"/>
      <c r="L13" s="76">
        <f>SUM(L11:L12)</f>
        <v>0</v>
      </c>
      <c r="M13" s="24"/>
      <c r="N13" s="76">
        <f>SUM(N11:N12)</f>
        <v>0</v>
      </c>
      <c r="O13" s="76"/>
      <c r="P13" s="76">
        <f>SUM(P11:P12)</f>
        <v>0</v>
      </c>
      <c r="Q13" s="76"/>
      <c r="S13" s="76">
        <f>SUM(S11:S12)</f>
        <v>21769476.969999999</v>
      </c>
      <c r="T13" s="24"/>
      <c r="U13" s="76">
        <f>SUM(U11:U12)</f>
        <v>0</v>
      </c>
      <c r="V13" s="24"/>
      <c r="W13" s="76">
        <f>SUM(W11:W12)</f>
        <v>0</v>
      </c>
      <c r="Y13" s="76">
        <f>SUM(Y11:Y12)</f>
        <v>0</v>
      </c>
      <c r="AA13" s="76">
        <f>SUM(AA11:AA12)</f>
        <v>21769476.969999999</v>
      </c>
    </row>
    <row r="14" spans="1:27">
      <c r="A14" s="71"/>
      <c r="B14" s="72"/>
      <c r="C14" s="72"/>
      <c r="D14" s="76"/>
      <c r="E14" s="24"/>
      <c r="F14" s="76"/>
      <c r="G14" s="24"/>
      <c r="H14" s="76"/>
      <c r="I14" s="24"/>
      <c r="J14" s="77"/>
      <c r="K14" s="24"/>
      <c r="L14" s="76"/>
      <c r="M14" s="24"/>
      <c r="N14" s="76"/>
      <c r="O14" s="76"/>
      <c r="P14" s="76"/>
      <c r="Q14" s="24"/>
      <c r="S14" s="76"/>
      <c r="T14" s="24"/>
      <c r="U14" s="76"/>
      <c r="V14" s="24"/>
      <c r="W14" s="76"/>
      <c r="Y14" s="76"/>
      <c r="AA14" s="76"/>
    </row>
    <row r="15" spans="1:27">
      <c r="A15" s="71"/>
      <c r="B15" s="72"/>
      <c r="C15" s="72" t="s">
        <v>326</v>
      </c>
      <c r="D15" s="76"/>
      <c r="E15" s="24"/>
      <c r="F15" s="76"/>
      <c r="G15" s="24"/>
      <c r="H15" s="76"/>
      <c r="I15" s="24"/>
      <c r="J15" s="77"/>
      <c r="K15" s="24"/>
      <c r="L15" s="76"/>
      <c r="M15" s="24"/>
      <c r="N15" s="76"/>
      <c r="O15" s="76"/>
      <c r="P15" s="76"/>
      <c r="Q15" s="24"/>
      <c r="S15" s="76"/>
      <c r="T15" s="24"/>
      <c r="U15" s="76"/>
      <c r="V15" s="24"/>
      <c r="W15" s="76"/>
      <c r="Y15" s="76"/>
      <c r="AA15" s="76"/>
    </row>
    <row r="16" spans="1:27">
      <c r="A16" s="71"/>
      <c r="B16" s="72"/>
      <c r="C16" s="72" t="s">
        <v>327</v>
      </c>
      <c r="D16" s="76"/>
      <c r="E16" s="24"/>
      <c r="F16" s="76"/>
      <c r="G16" s="24"/>
      <c r="H16" s="76"/>
      <c r="I16" s="24"/>
      <c r="J16" s="77"/>
      <c r="K16" s="24"/>
      <c r="L16" s="76"/>
      <c r="M16" s="24"/>
      <c r="N16" s="76"/>
      <c r="O16" s="76"/>
      <c r="P16" s="76"/>
      <c r="Q16" s="24"/>
      <c r="S16" s="76"/>
      <c r="T16" s="24"/>
      <c r="U16" s="76"/>
      <c r="V16" s="24"/>
      <c r="W16" s="76"/>
      <c r="Y16" s="76"/>
      <c r="AA16" s="76"/>
    </row>
    <row r="17" spans="1:35">
      <c r="A17" s="71">
        <v>4</v>
      </c>
      <c r="B17" s="72"/>
      <c r="C17" s="73" t="s">
        <v>23</v>
      </c>
      <c r="D17" s="76">
        <v>13280571.460000001</v>
      </c>
      <c r="E17" s="24"/>
      <c r="F17" s="24">
        <v>0</v>
      </c>
      <c r="H17" s="24">
        <f>SUM(D17:G17)</f>
        <v>13280571.460000001</v>
      </c>
      <c r="J17" s="25"/>
      <c r="K17" s="24"/>
      <c r="L17" s="76">
        <v>0</v>
      </c>
      <c r="M17" s="24"/>
      <c r="N17" s="24">
        <f>-H17</f>
        <v>-13280571.460000001</v>
      </c>
      <c r="O17" s="24"/>
      <c r="P17" s="24">
        <f>+L17+N17</f>
        <v>-13280571.460000001</v>
      </c>
      <c r="Q17" s="24"/>
      <c r="R17" s="24"/>
      <c r="S17" s="24">
        <f>+H17+P17</f>
        <v>0</v>
      </c>
      <c r="T17" s="24"/>
      <c r="U17" s="24">
        <v>0</v>
      </c>
      <c r="V17" s="24"/>
      <c r="W17" s="24">
        <v>0</v>
      </c>
      <c r="X17" s="24"/>
      <c r="Y17" s="24">
        <v>0</v>
      </c>
      <c r="Z17" s="24"/>
      <c r="AA17" s="24">
        <f>+S17+U17+W17+Y17</f>
        <v>0</v>
      </c>
    </row>
    <row r="18" spans="1:35">
      <c r="A18" s="71">
        <v>5</v>
      </c>
      <c r="B18" s="72"/>
      <c r="C18" s="73" t="s">
        <v>328</v>
      </c>
      <c r="D18" s="75">
        <v>-7837398</v>
      </c>
      <c r="E18" s="140" t="s">
        <v>329</v>
      </c>
      <c r="F18" s="27">
        <f>-D18</f>
        <v>7837398</v>
      </c>
      <c r="G18" s="140"/>
      <c r="H18" s="27">
        <f>SUM(D18:G18)</f>
        <v>0</v>
      </c>
      <c r="J18" s="25"/>
      <c r="K18" s="24"/>
      <c r="L18" s="75"/>
      <c r="M18" s="24"/>
      <c r="N18" s="75"/>
      <c r="O18" s="24"/>
      <c r="P18" s="27"/>
      <c r="Q18" s="24"/>
      <c r="R18" s="24"/>
      <c r="S18" s="27"/>
      <c r="T18" s="24"/>
      <c r="U18" s="27"/>
      <c r="V18" s="24"/>
      <c r="W18" s="27"/>
      <c r="X18" s="24"/>
      <c r="Y18" s="27"/>
      <c r="Z18" s="24"/>
      <c r="AA18" s="27"/>
    </row>
    <row r="19" spans="1:35">
      <c r="A19" s="71">
        <v>6</v>
      </c>
      <c r="B19" s="72"/>
      <c r="C19" s="73" t="s">
        <v>330</v>
      </c>
      <c r="D19" s="76">
        <f>SUM(D17:D18)</f>
        <v>5443173.4600000009</v>
      </c>
      <c r="F19" s="76">
        <f>SUM(F17:F18)</f>
        <v>7837398</v>
      </c>
      <c r="H19" s="76">
        <f>SUM(H17:H18)</f>
        <v>13280571.460000001</v>
      </c>
      <c r="J19" s="25"/>
      <c r="K19" s="24"/>
      <c r="L19" s="76"/>
      <c r="M19" s="24"/>
      <c r="N19" s="76">
        <f>SUM(N17:N18)</f>
        <v>-13280571.460000001</v>
      </c>
      <c r="O19" s="24"/>
      <c r="P19" s="76">
        <f>SUM(P17:P18)</f>
        <v>-13280571.460000001</v>
      </c>
      <c r="Q19" s="24"/>
      <c r="R19" s="24"/>
      <c r="S19" s="76">
        <f>SUM(S17:S18)</f>
        <v>0</v>
      </c>
      <c r="T19" s="24"/>
      <c r="U19" s="24"/>
      <c r="V19" s="24"/>
      <c r="W19" s="76">
        <f>SUM(W17:W18)</f>
        <v>0</v>
      </c>
      <c r="X19" s="24"/>
      <c r="Y19" s="24"/>
      <c r="Z19" s="24"/>
      <c r="AA19" s="76">
        <f>SUM(AA17:AA18)</f>
        <v>0</v>
      </c>
    </row>
    <row r="20" spans="1:35">
      <c r="A20" s="71">
        <v>7</v>
      </c>
      <c r="B20" s="72"/>
      <c r="C20" s="73" t="s">
        <v>25</v>
      </c>
      <c r="D20" s="76">
        <v>4853707.87</v>
      </c>
      <c r="F20" s="24">
        <v>0</v>
      </c>
      <c r="H20" s="24">
        <f>SUM(D20:G20)</f>
        <v>4853707.87</v>
      </c>
      <c r="J20" s="25"/>
      <c r="K20" s="24"/>
      <c r="L20" s="76">
        <v>0</v>
      </c>
      <c r="M20" s="24"/>
      <c r="N20" s="76">
        <v>48319.229999998584</v>
      </c>
      <c r="O20" s="24"/>
      <c r="P20" s="24">
        <f>+L20+N20</f>
        <v>48319.229999998584</v>
      </c>
      <c r="Q20" s="24"/>
      <c r="R20" s="24"/>
      <c r="S20" s="24">
        <f>+H20+P20</f>
        <v>4902027.0999999987</v>
      </c>
      <c r="T20" s="24"/>
      <c r="U20" s="24">
        <v>0</v>
      </c>
      <c r="V20" s="24"/>
      <c r="W20" s="24">
        <v>0</v>
      </c>
      <c r="X20" s="24"/>
      <c r="Y20" s="24">
        <v>0</v>
      </c>
      <c r="Z20" s="24"/>
      <c r="AA20" s="24">
        <f>+S20+U20+W20+Y20</f>
        <v>4902027.0999999987</v>
      </c>
    </row>
    <row r="21" spans="1:35">
      <c r="A21" s="71">
        <v>8</v>
      </c>
      <c r="B21" s="72"/>
      <c r="C21" s="73" t="s">
        <v>331</v>
      </c>
      <c r="D21" s="75">
        <v>-2591160.2200000002</v>
      </c>
      <c r="E21" s="140" t="s">
        <v>300</v>
      </c>
      <c r="F21" s="27">
        <f>-D21</f>
        <v>2591160.2200000002</v>
      </c>
      <c r="G21" s="140"/>
      <c r="H21" s="27">
        <f>SUM(D21:G21)</f>
        <v>0</v>
      </c>
      <c r="J21" s="25"/>
      <c r="K21" s="24"/>
      <c r="L21" s="75"/>
      <c r="M21" s="24"/>
      <c r="N21" s="75"/>
      <c r="O21" s="24"/>
      <c r="P21" s="27"/>
      <c r="Q21" s="24"/>
      <c r="R21" s="24"/>
      <c r="S21" s="27"/>
      <c r="T21" s="24"/>
      <c r="U21" s="27"/>
      <c r="V21" s="24"/>
      <c r="W21" s="27"/>
      <c r="X21" s="24"/>
      <c r="Y21" s="27"/>
      <c r="Z21" s="24"/>
      <c r="AA21" s="27"/>
    </row>
    <row r="22" spans="1:35">
      <c r="A22" s="71">
        <v>9</v>
      </c>
      <c r="B22" s="72"/>
      <c r="C22" s="73" t="s">
        <v>332</v>
      </c>
      <c r="D22" s="76">
        <f>SUM(D20:D21)</f>
        <v>2262547.65</v>
      </c>
      <c r="E22" s="24"/>
      <c r="F22" s="76">
        <f>SUM(F20:F21)</f>
        <v>2591160.2200000002</v>
      </c>
      <c r="H22" s="76">
        <f>SUM(H20:H21)</f>
        <v>4853707.87</v>
      </c>
      <c r="J22" s="25"/>
      <c r="K22" s="24"/>
      <c r="L22" s="76"/>
      <c r="M22" s="24"/>
      <c r="N22" s="76">
        <f>SUM(N20:N21)</f>
        <v>48319.229999998584</v>
      </c>
      <c r="O22" s="24"/>
      <c r="P22" s="76">
        <f>SUM(P20:P21)</f>
        <v>48319.229999998584</v>
      </c>
      <c r="Q22" s="24"/>
      <c r="R22" s="24"/>
      <c r="S22" s="76">
        <f>SUM(S20:S21)</f>
        <v>4902027.0999999987</v>
      </c>
      <c r="T22" s="24"/>
      <c r="U22" s="24"/>
      <c r="V22" s="24"/>
      <c r="W22" s="76">
        <f>SUM(W20:W21)</f>
        <v>0</v>
      </c>
      <c r="X22" s="24"/>
      <c r="Y22" s="24"/>
      <c r="Z22" s="24"/>
      <c r="AA22" s="76">
        <f>SUM(AA20:AA21)</f>
        <v>4902027.0999999987</v>
      </c>
    </row>
    <row r="23" spans="1:35">
      <c r="A23" s="71">
        <v>10</v>
      </c>
      <c r="B23" s="72"/>
      <c r="C23" s="73" t="s">
        <v>333</v>
      </c>
      <c r="D23" s="76">
        <v>361885.78</v>
      </c>
      <c r="E23" s="24"/>
      <c r="F23" s="24">
        <v>0</v>
      </c>
      <c r="H23" s="24">
        <f>SUM(D23:G23)</f>
        <v>361885.78</v>
      </c>
      <c r="J23" s="25" t="s">
        <v>24</v>
      </c>
      <c r="K23" s="24"/>
      <c r="L23" s="76">
        <v>0</v>
      </c>
      <c r="M23" s="24"/>
      <c r="N23" s="76">
        <v>0</v>
      </c>
      <c r="O23" s="24"/>
      <c r="P23" s="24">
        <f>+L23+N23</f>
        <v>0</v>
      </c>
      <c r="Q23" s="24"/>
      <c r="R23" s="24"/>
      <c r="S23" s="24">
        <f>+H23+P23</f>
        <v>361885.78</v>
      </c>
      <c r="T23" s="24"/>
      <c r="U23" s="24">
        <v>0</v>
      </c>
      <c r="V23" s="24"/>
      <c r="W23" s="24">
        <v>0</v>
      </c>
      <c r="X23" s="24"/>
      <c r="Y23" s="24">
        <v>0</v>
      </c>
      <c r="Z23" s="24"/>
      <c r="AA23" s="24">
        <f>+S23+U23+W23+Y23</f>
        <v>361885.78</v>
      </c>
    </row>
    <row r="24" spans="1:35">
      <c r="A24" s="71">
        <v>11</v>
      </c>
      <c r="B24" s="72"/>
      <c r="C24" s="73" t="s">
        <v>334</v>
      </c>
      <c r="D24" s="76">
        <v>3792.36</v>
      </c>
      <c r="E24" s="24"/>
      <c r="F24" s="24">
        <v>0</v>
      </c>
      <c r="H24" s="24">
        <f>SUM(D24:G24)</f>
        <v>3792.36</v>
      </c>
      <c r="J24" s="25" t="s">
        <v>24</v>
      </c>
      <c r="K24" s="24"/>
      <c r="L24" s="76"/>
      <c r="M24" s="24"/>
      <c r="N24" s="76">
        <v>0</v>
      </c>
      <c r="O24" s="24"/>
      <c r="P24" s="24">
        <f>+L24+N24</f>
        <v>0</v>
      </c>
      <c r="Q24" s="24"/>
      <c r="R24" s="24"/>
      <c r="S24" s="24">
        <f>+H24+P24</f>
        <v>3792.36</v>
      </c>
      <c r="T24" s="24"/>
      <c r="U24" s="24"/>
      <c r="V24" s="24"/>
      <c r="W24" s="24">
        <v>0</v>
      </c>
      <c r="X24" s="24"/>
      <c r="Y24" s="24"/>
      <c r="Z24" s="24"/>
      <c r="AA24" s="24">
        <f>+S24+U24+W24+Y24</f>
        <v>3792.36</v>
      </c>
    </row>
    <row r="25" spans="1:35">
      <c r="A25" s="71">
        <v>12</v>
      </c>
      <c r="B25" s="72"/>
      <c r="C25" s="73" t="s">
        <v>335</v>
      </c>
      <c r="D25" s="76">
        <v>1286959.74</v>
      </c>
      <c r="E25" s="24"/>
      <c r="F25" s="24">
        <v>0</v>
      </c>
      <c r="H25" s="24">
        <f>SUM(D25:G25)</f>
        <v>1286959.74</v>
      </c>
      <c r="J25" s="25" t="s">
        <v>24</v>
      </c>
      <c r="K25" s="24"/>
      <c r="L25" s="76">
        <v>0</v>
      </c>
      <c r="M25" s="24"/>
      <c r="N25" s="76"/>
      <c r="O25" s="24"/>
      <c r="P25" s="24">
        <f>+L25+N25</f>
        <v>0</v>
      </c>
      <c r="Q25" s="24"/>
      <c r="R25" s="24"/>
      <c r="S25" s="24">
        <f>+H25+P25</f>
        <v>1286959.74</v>
      </c>
      <c r="T25" s="24"/>
      <c r="U25" s="24">
        <v>0</v>
      </c>
      <c r="V25" s="24"/>
      <c r="W25" s="24">
        <v>0</v>
      </c>
      <c r="X25" s="24"/>
      <c r="Y25" s="24">
        <v>0</v>
      </c>
      <c r="Z25" s="24"/>
      <c r="AA25" s="24">
        <f>+S25+U25+W25+Y25</f>
        <v>1286959.74</v>
      </c>
      <c r="AH25" s="78"/>
      <c r="AI25" s="78"/>
    </row>
    <row r="26" spans="1:35">
      <c r="A26" s="71">
        <v>13</v>
      </c>
      <c r="B26" s="72"/>
      <c r="C26" s="73" t="s">
        <v>336</v>
      </c>
      <c r="D26" s="75">
        <v>277682.40000000002</v>
      </c>
      <c r="E26" s="24"/>
      <c r="F26" s="27">
        <v>0</v>
      </c>
      <c r="H26" s="27">
        <f>SUM(D26:G26)</f>
        <v>277682.40000000002</v>
      </c>
      <c r="J26" s="25"/>
      <c r="K26" s="24"/>
      <c r="L26" s="75">
        <v>0</v>
      </c>
      <c r="M26" s="24"/>
      <c r="N26" s="75">
        <v>111736</v>
      </c>
      <c r="O26" s="24"/>
      <c r="P26" s="27">
        <f>+L26+N26</f>
        <v>111736</v>
      </c>
      <c r="Q26" s="24"/>
      <c r="R26" s="24"/>
      <c r="S26" s="27">
        <f>+H26+P26</f>
        <v>389418.4</v>
      </c>
      <c r="T26" s="24"/>
      <c r="U26" s="27">
        <v>0</v>
      </c>
      <c r="V26" s="24"/>
      <c r="W26" s="27">
        <v>0</v>
      </c>
      <c r="X26" s="24"/>
      <c r="Y26" s="27">
        <v>0</v>
      </c>
      <c r="Z26" s="24"/>
      <c r="AA26" s="27">
        <f>+S26+U26+W26+Y26</f>
        <v>389418.4</v>
      </c>
      <c r="AH26" s="78"/>
      <c r="AI26" s="78"/>
    </row>
    <row r="27" spans="1:35">
      <c r="A27" s="71">
        <v>14</v>
      </c>
      <c r="B27" s="72"/>
      <c r="C27" s="73" t="s">
        <v>337</v>
      </c>
      <c r="D27" s="76">
        <f>D19+D22+D23+D24+D25+D26</f>
        <v>9636041.3900000025</v>
      </c>
      <c r="E27" s="24"/>
      <c r="F27" s="76">
        <f>F19+F22+F23+F24+F25+F26</f>
        <v>10428558.220000001</v>
      </c>
      <c r="G27" s="24"/>
      <c r="H27" s="76">
        <f>H19+H22+H23+H24+H25+H26</f>
        <v>20064599.609999999</v>
      </c>
      <c r="I27" s="24"/>
      <c r="J27" s="77"/>
      <c r="K27" s="24"/>
      <c r="L27" s="76">
        <f>SUM(L17:L26)</f>
        <v>0</v>
      </c>
      <c r="M27" s="24"/>
      <c r="N27" s="76">
        <f>N19+N22+N23+N24+N25+N26</f>
        <v>-13120516.230000002</v>
      </c>
      <c r="O27" s="76"/>
      <c r="P27" s="76">
        <f>P19+P22+P23+P24+P25+P26</f>
        <v>-13120516.230000002</v>
      </c>
      <c r="Q27" s="76"/>
      <c r="S27" s="76">
        <f>S19+S22+S23+S24+S25+S26</f>
        <v>6944083.3799999999</v>
      </c>
      <c r="T27" s="24"/>
      <c r="U27" s="76"/>
      <c r="V27" s="24"/>
      <c r="W27" s="76">
        <f>W19+W22+W23+W24+W25+W26</f>
        <v>0</v>
      </c>
      <c r="Y27" s="76">
        <f>Y19+Y22+Y23+Y24+Y25+Y26</f>
        <v>0</v>
      </c>
      <c r="AA27" s="76">
        <f>AA19+AA22+AA23+AA24+AA25+AA26</f>
        <v>6944083.3799999999</v>
      </c>
      <c r="AC27" s="78"/>
    </row>
    <row r="28" spans="1:35">
      <c r="A28" s="71"/>
      <c r="B28" s="72"/>
      <c r="C28" s="72"/>
      <c r="D28" s="76"/>
      <c r="E28" s="24"/>
      <c r="F28" s="76"/>
      <c r="G28" s="24"/>
      <c r="H28" s="76"/>
      <c r="I28" s="24"/>
      <c r="J28" s="77"/>
      <c r="K28" s="24"/>
      <c r="L28" s="76"/>
      <c r="M28" s="24"/>
      <c r="N28" s="76"/>
      <c r="O28" s="76"/>
      <c r="P28" s="76"/>
      <c r="Q28" s="24"/>
      <c r="S28" s="76"/>
      <c r="T28" s="24"/>
      <c r="U28" s="76"/>
      <c r="V28" s="24"/>
      <c r="W28" s="76"/>
      <c r="Y28" s="76"/>
      <c r="AA28" s="76"/>
    </row>
    <row r="29" spans="1:35">
      <c r="A29" s="71">
        <v>15</v>
      </c>
      <c r="B29" s="72"/>
      <c r="C29" s="73" t="s">
        <v>338</v>
      </c>
      <c r="D29" s="76">
        <v>1724861.76</v>
      </c>
      <c r="E29" s="24"/>
      <c r="F29" s="24">
        <v>0</v>
      </c>
      <c r="H29" s="24">
        <f>SUM(D29:G29)</f>
        <v>1724861.76</v>
      </c>
      <c r="J29" s="25"/>
      <c r="K29" s="24"/>
      <c r="L29" s="76">
        <v>0</v>
      </c>
      <c r="M29" s="24"/>
      <c r="N29" s="76">
        <f>2010490-H29</f>
        <v>285628.24</v>
      </c>
      <c r="O29" s="24"/>
      <c r="P29" s="24">
        <f>+L29+N29</f>
        <v>285628.24</v>
      </c>
      <c r="Q29" s="24"/>
      <c r="R29" s="24"/>
      <c r="S29" s="24">
        <f>+H29+P29</f>
        <v>2010490</v>
      </c>
      <c r="T29" s="24"/>
      <c r="U29" s="24">
        <v>0</v>
      </c>
      <c r="V29" s="24"/>
      <c r="W29" s="24">
        <v>0</v>
      </c>
      <c r="X29" s="24"/>
      <c r="Y29" s="24">
        <v>0</v>
      </c>
      <c r="Z29" s="24"/>
      <c r="AA29" s="24">
        <f>+S29+U29+W29+Y29</f>
        <v>2010490</v>
      </c>
    </row>
    <row r="30" spans="1:35">
      <c r="A30" s="71"/>
      <c r="B30" s="72"/>
      <c r="C30" s="73"/>
      <c r="D30" s="76"/>
      <c r="E30" s="24"/>
      <c r="F30" s="24"/>
      <c r="H30" s="24"/>
      <c r="J30" s="25"/>
      <c r="K30" s="24"/>
      <c r="L30" s="76"/>
      <c r="M30" s="24"/>
      <c r="N30" s="76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35">
      <c r="B31" s="72"/>
      <c r="C31" s="73" t="s">
        <v>339</v>
      </c>
      <c r="D31" s="76"/>
      <c r="E31" s="24"/>
      <c r="F31" s="24"/>
      <c r="H31" s="24"/>
      <c r="J31" s="25"/>
      <c r="K31" s="24"/>
      <c r="L31" s="76"/>
      <c r="M31" s="24"/>
      <c r="N31" s="76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35">
      <c r="A32" s="71">
        <v>16</v>
      </c>
      <c r="B32" s="72"/>
      <c r="C32" s="73" t="s">
        <v>340</v>
      </c>
      <c r="D32" s="76">
        <v>100297.99999999999</v>
      </c>
      <c r="E32" s="24"/>
      <c r="F32" s="24">
        <v>0</v>
      </c>
      <c r="H32" s="24">
        <f>SUM(D32:G32)</f>
        <v>100297.99999999999</v>
      </c>
      <c r="J32" s="25"/>
      <c r="K32" s="24"/>
      <c r="L32" s="76">
        <v>0</v>
      </c>
      <c r="M32" s="24"/>
      <c r="N32" s="76">
        <v>3009</v>
      </c>
      <c r="O32" s="24"/>
      <c r="P32" s="24">
        <f>+L32+N32</f>
        <v>3009</v>
      </c>
      <c r="Q32" s="24"/>
      <c r="R32" s="24"/>
      <c r="S32" s="24">
        <f>+H32+P32</f>
        <v>103306.99999999999</v>
      </c>
      <c r="T32" s="24"/>
      <c r="U32" s="24">
        <v>0</v>
      </c>
      <c r="V32" s="24"/>
      <c r="W32" s="24">
        <v>0</v>
      </c>
      <c r="X32" s="24"/>
      <c r="Y32" s="24">
        <v>0</v>
      </c>
      <c r="Z32" s="24"/>
      <c r="AA32" s="24">
        <f>+S32+U32+W32+Y32</f>
        <v>103306.99999999999</v>
      </c>
      <c r="AC32" s="141"/>
    </row>
    <row r="33" spans="1:29">
      <c r="A33" s="71">
        <v>17</v>
      </c>
      <c r="B33" s="72"/>
      <c r="C33" s="73" t="s">
        <v>341</v>
      </c>
      <c r="D33" s="76">
        <v>12335.18</v>
      </c>
      <c r="E33" s="24"/>
      <c r="F33" s="24">
        <v>0</v>
      </c>
      <c r="H33" s="24">
        <f>SUM(D33:G33)</f>
        <v>12335.18</v>
      </c>
      <c r="J33" s="25" t="s">
        <v>24</v>
      </c>
      <c r="K33" s="24"/>
      <c r="L33" s="76">
        <v>0</v>
      </c>
      <c r="M33" s="24"/>
      <c r="N33" s="76">
        <v>0</v>
      </c>
      <c r="O33" s="24"/>
      <c r="P33" s="24">
        <f>+L33+N33</f>
        <v>0</v>
      </c>
      <c r="Q33" s="24"/>
      <c r="R33" s="24"/>
      <c r="S33" s="24">
        <f>+H33+P33</f>
        <v>12335.18</v>
      </c>
      <c r="T33" s="24"/>
      <c r="U33" s="24">
        <v>0</v>
      </c>
      <c r="V33" s="24"/>
      <c r="W33" s="24">
        <v>0</v>
      </c>
      <c r="X33" s="24"/>
      <c r="Y33" s="24">
        <v>0</v>
      </c>
      <c r="Z33" s="24"/>
      <c r="AA33" s="24">
        <f>+S33+U33+W33+Y33</f>
        <v>12335.18</v>
      </c>
      <c r="AC33" s="141"/>
    </row>
    <row r="34" spans="1:29">
      <c r="A34" s="71">
        <v>18</v>
      </c>
      <c r="B34" s="72"/>
      <c r="C34" s="73" t="s">
        <v>342</v>
      </c>
      <c r="D34" s="76">
        <v>49083.040000000001</v>
      </c>
      <c r="E34" s="24"/>
      <c r="F34" s="24">
        <v>0</v>
      </c>
      <c r="H34" s="24">
        <f>SUM(D34:G34)</f>
        <v>49083.040000000001</v>
      </c>
      <c r="J34" s="25"/>
      <c r="K34" s="24"/>
      <c r="L34" s="76">
        <v>0</v>
      </c>
      <c r="M34" s="24"/>
      <c r="N34" s="76">
        <f>75138.01-49083.04</f>
        <v>26054.969999999994</v>
      </c>
      <c r="O34" s="24"/>
      <c r="P34" s="24">
        <f>+L34+N34</f>
        <v>26054.969999999994</v>
      </c>
      <c r="Q34" s="24"/>
      <c r="R34" s="24"/>
      <c r="S34" s="24">
        <f>+H34+P34</f>
        <v>75138.009999999995</v>
      </c>
      <c r="T34" s="24"/>
      <c r="U34" s="24">
        <v>0</v>
      </c>
      <c r="V34" s="24"/>
      <c r="W34" s="24">
        <v>0</v>
      </c>
      <c r="X34" s="24"/>
      <c r="Y34" s="24">
        <v>0</v>
      </c>
      <c r="Z34" s="24"/>
      <c r="AA34" s="24">
        <f>+S34+U34+W34+Y34</f>
        <v>75138.009999999995</v>
      </c>
      <c r="AC34" s="141"/>
    </row>
    <row r="35" spans="1:29">
      <c r="A35" s="71">
        <v>19</v>
      </c>
      <c r="B35" s="72"/>
      <c r="C35" s="73" t="s">
        <v>343</v>
      </c>
      <c r="D35" s="75">
        <v>12113.4</v>
      </c>
      <c r="E35" s="24"/>
      <c r="F35" s="27">
        <v>0</v>
      </c>
      <c r="H35" s="27">
        <f>SUM(D35:G35)</f>
        <v>12113.4</v>
      </c>
      <c r="J35" s="25"/>
      <c r="K35" s="24"/>
      <c r="L35" s="75">
        <v>0</v>
      </c>
      <c r="M35" s="24"/>
      <c r="N35" s="75">
        <f>12464.66-12113.4</f>
        <v>351.26000000000022</v>
      </c>
      <c r="O35" s="24"/>
      <c r="P35" s="27">
        <f>+L35+N35</f>
        <v>351.26000000000022</v>
      </c>
      <c r="Q35" s="24"/>
      <c r="R35" s="24"/>
      <c r="S35" s="27">
        <f>+H35+P35</f>
        <v>12464.66</v>
      </c>
      <c r="T35" s="24"/>
      <c r="U35" s="27">
        <v>0</v>
      </c>
      <c r="V35" s="24"/>
      <c r="W35" s="27">
        <v>0</v>
      </c>
      <c r="X35" s="24"/>
      <c r="Y35" s="27">
        <v>0</v>
      </c>
      <c r="Z35" s="24"/>
      <c r="AA35" s="27">
        <f>+S35+U35+W35+Y35</f>
        <v>12464.66</v>
      </c>
      <c r="AC35" s="141"/>
    </row>
    <row r="36" spans="1:29">
      <c r="A36" s="71">
        <v>20</v>
      </c>
      <c r="B36" s="72"/>
      <c r="C36" s="73" t="s">
        <v>344</v>
      </c>
      <c r="D36" s="76">
        <f>SUM(D32:D35)</f>
        <v>173829.62</v>
      </c>
      <c r="E36" s="24"/>
      <c r="F36" s="76">
        <f>SUM(F32:F35)</f>
        <v>0</v>
      </c>
      <c r="G36" s="24"/>
      <c r="H36" s="76">
        <f>SUM(H32:H35)</f>
        <v>173829.62</v>
      </c>
      <c r="I36" s="24"/>
      <c r="J36" s="77"/>
      <c r="K36" s="24"/>
      <c r="L36" s="76"/>
      <c r="M36" s="24"/>
      <c r="N36" s="76">
        <f>SUM(N32:N35)</f>
        <v>29415.229999999996</v>
      </c>
      <c r="O36" s="76"/>
      <c r="P36" s="76">
        <f>SUM(P32:P35)</f>
        <v>29415.229999999996</v>
      </c>
      <c r="Q36" s="76"/>
      <c r="S36" s="76">
        <f>SUM(S32:S35)</f>
        <v>203244.85</v>
      </c>
      <c r="T36" s="24"/>
      <c r="U36" s="76"/>
      <c r="V36" s="24"/>
      <c r="W36" s="76">
        <f>SUM(W32:W35)</f>
        <v>0</v>
      </c>
      <c r="Y36" s="76">
        <f>SUM(Y32:Y35)</f>
        <v>0</v>
      </c>
      <c r="AA36" s="76">
        <f>SUM(AA32:AA35)</f>
        <v>203244.85</v>
      </c>
    </row>
    <row r="37" spans="1:29">
      <c r="A37" s="71"/>
      <c r="B37" s="72"/>
      <c r="C37" s="72"/>
      <c r="D37" s="76"/>
      <c r="E37" s="24"/>
      <c r="F37" s="76"/>
      <c r="G37" s="24"/>
      <c r="H37" s="76"/>
      <c r="I37" s="24"/>
      <c r="J37" s="77"/>
      <c r="K37" s="24"/>
      <c r="L37" s="76"/>
      <c r="M37" s="24"/>
      <c r="N37" s="76"/>
      <c r="O37" s="76"/>
      <c r="P37" s="76"/>
      <c r="Q37" s="16"/>
      <c r="S37" s="76"/>
      <c r="T37" s="24"/>
      <c r="U37" s="76"/>
      <c r="V37" s="24"/>
      <c r="W37" s="76"/>
      <c r="Y37" s="76"/>
      <c r="AA37" s="76"/>
    </row>
    <row r="38" spans="1:29">
      <c r="A38" s="71"/>
      <c r="B38" s="72"/>
      <c r="C38" s="72"/>
      <c r="D38" s="76"/>
      <c r="E38" s="24"/>
      <c r="F38" s="76"/>
      <c r="G38" s="24"/>
      <c r="H38" s="76"/>
      <c r="I38" s="24"/>
      <c r="J38" s="77"/>
      <c r="K38" s="24"/>
      <c r="L38" s="76"/>
      <c r="M38" s="24"/>
      <c r="N38" s="76"/>
      <c r="O38" s="76"/>
      <c r="P38" s="76"/>
      <c r="Q38" s="16"/>
      <c r="S38" s="76"/>
      <c r="T38" s="24"/>
      <c r="U38" s="76"/>
      <c r="V38" s="24"/>
      <c r="W38" s="76"/>
      <c r="Y38" s="76"/>
      <c r="AA38" s="76"/>
    </row>
    <row r="39" spans="1:29">
      <c r="A39" s="71"/>
      <c r="B39" s="72"/>
      <c r="C39" s="72" t="s">
        <v>345</v>
      </c>
      <c r="D39" s="76"/>
      <c r="E39" s="24"/>
      <c r="F39" s="76"/>
      <c r="G39" s="24"/>
      <c r="H39" s="76"/>
      <c r="I39" s="24"/>
      <c r="J39" s="77"/>
      <c r="K39" s="24"/>
      <c r="L39" s="76"/>
      <c r="M39" s="24"/>
      <c r="N39" s="76"/>
      <c r="O39" s="76"/>
      <c r="P39" s="76"/>
      <c r="Q39" s="16"/>
      <c r="S39" s="76"/>
      <c r="T39" s="24"/>
      <c r="U39" s="76"/>
      <c r="V39" s="24"/>
      <c r="W39" s="76"/>
      <c r="Y39" s="76"/>
      <c r="AA39" s="76"/>
    </row>
    <row r="40" spans="1:29">
      <c r="A40" s="71">
        <v>21</v>
      </c>
      <c r="B40" s="72"/>
      <c r="C40" s="73" t="s">
        <v>335</v>
      </c>
      <c r="D40" s="76">
        <v>3735.3899999999985</v>
      </c>
      <c r="E40" s="24"/>
      <c r="F40" s="24">
        <v>0</v>
      </c>
      <c r="H40" s="24">
        <f>SUM(D40:G40)</f>
        <v>3735.3899999999985</v>
      </c>
      <c r="J40" s="25" t="s">
        <v>24</v>
      </c>
      <c r="K40" s="24"/>
      <c r="L40" s="76">
        <v>0</v>
      </c>
      <c r="M40" s="24"/>
      <c r="N40" s="76">
        <v>0</v>
      </c>
      <c r="O40" s="24"/>
      <c r="P40" s="24">
        <f>+L40+N40</f>
        <v>0</v>
      </c>
      <c r="Q40" s="24"/>
      <c r="R40" s="24"/>
      <c r="S40" s="24">
        <f>+H40+P40</f>
        <v>3735.3899999999985</v>
      </c>
      <c r="T40" s="24"/>
      <c r="U40" s="24">
        <v>0</v>
      </c>
      <c r="V40" s="24"/>
      <c r="W40" s="24">
        <v>0</v>
      </c>
      <c r="X40" s="24"/>
      <c r="Y40" s="24">
        <v>0</v>
      </c>
      <c r="Z40" s="24"/>
      <c r="AA40" s="24">
        <f>+S40+U40+W40+Y40</f>
        <v>3735.3899999999985</v>
      </c>
    </row>
    <row r="41" spans="1:29">
      <c r="A41" s="71">
        <v>22</v>
      </c>
      <c r="B41" s="72"/>
      <c r="C41" s="73" t="s">
        <v>340</v>
      </c>
      <c r="D41" s="75">
        <v>150</v>
      </c>
      <c r="E41" s="24"/>
      <c r="F41" s="27">
        <v>0</v>
      </c>
      <c r="H41" s="27">
        <f>SUM(D41:G41)</f>
        <v>150</v>
      </c>
      <c r="J41" s="25" t="s">
        <v>24</v>
      </c>
      <c r="K41" s="24"/>
      <c r="L41" s="75">
        <v>0</v>
      </c>
      <c r="M41" s="24"/>
      <c r="N41" s="75">
        <f>150-H41</f>
        <v>0</v>
      </c>
      <c r="O41" s="24"/>
      <c r="P41" s="27">
        <f>+L41+N41</f>
        <v>0</v>
      </c>
      <c r="Q41" s="24"/>
      <c r="R41" s="24"/>
      <c r="S41" s="27">
        <f>+H41+P41</f>
        <v>150</v>
      </c>
      <c r="T41" s="24"/>
      <c r="U41" s="27">
        <v>0</v>
      </c>
      <c r="V41" s="24"/>
      <c r="W41" s="27">
        <v>0</v>
      </c>
      <c r="X41" s="24"/>
      <c r="Y41" s="27">
        <v>0</v>
      </c>
      <c r="Z41" s="24"/>
      <c r="AA41" s="27">
        <f>+S41+U41+W41+Y41</f>
        <v>150</v>
      </c>
    </row>
    <row r="42" spans="1:29">
      <c r="A42" s="71">
        <v>23</v>
      </c>
      <c r="B42" s="72"/>
      <c r="C42" s="73" t="s">
        <v>346</v>
      </c>
      <c r="D42" s="76">
        <f>SUM(D40:D41)</f>
        <v>3885.3899999999985</v>
      </c>
      <c r="E42" s="24"/>
      <c r="F42" s="76">
        <f>SUM(F40:F41)</f>
        <v>0</v>
      </c>
      <c r="G42" s="24"/>
      <c r="H42" s="76">
        <f>SUM(H40:H41)</f>
        <v>3885.3899999999985</v>
      </c>
      <c r="I42" s="24"/>
      <c r="J42" s="77"/>
      <c r="K42" s="24"/>
      <c r="L42" s="76">
        <f>SUM(L40:L41)</f>
        <v>0</v>
      </c>
      <c r="N42" s="76">
        <f>SUM(N40:N41)</f>
        <v>0</v>
      </c>
      <c r="O42" s="76"/>
      <c r="P42" s="76">
        <f>SUM(P40:P41)</f>
        <v>0</v>
      </c>
      <c r="Q42" s="76"/>
      <c r="S42" s="76">
        <f>SUM(S40:S41)</f>
        <v>3885.3899999999985</v>
      </c>
      <c r="T42" s="24"/>
      <c r="U42" s="76">
        <f>SUM(U40:U41)</f>
        <v>0</v>
      </c>
      <c r="V42" s="24"/>
      <c r="W42" s="76">
        <f>SUM(W40:W41)</f>
        <v>0</v>
      </c>
      <c r="Y42" s="76">
        <f>SUM(Y40:Y41)</f>
        <v>0</v>
      </c>
      <c r="AA42" s="76">
        <f>SUM(AA40:AA41)</f>
        <v>3885.3899999999985</v>
      </c>
    </row>
    <row r="43" spans="1:29">
      <c r="A43" s="71"/>
      <c r="B43" s="72"/>
      <c r="C43" s="72"/>
      <c r="D43" s="76"/>
      <c r="E43" s="24"/>
      <c r="F43" s="76"/>
      <c r="G43" s="24"/>
      <c r="H43" s="76"/>
      <c r="I43" s="24"/>
      <c r="J43" s="77"/>
      <c r="K43" s="24"/>
      <c r="L43" s="76"/>
      <c r="N43" s="76"/>
      <c r="O43" s="76"/>
      <c r="P43" s="76"/>
      <c r="Q43" s="24"/>
      <c r="S43" s="76"/>
      <c r="T43" s="24"/>
      <c r="U43" s="76"/>
      <c r="V43" s="24"/>
      <c r="W43" s="76"/>
      <c r="Y43" s="76"/>
      <c r="AA43" s="76"/>
    </row>
    <row r="44" spans="1:29">
      <c r="A44" s="71"/>
      <c r="B44" s="72"/>
      <c r="C44" s="72" t="s">
        <v>347</v>
      </c>
      <c r="D44" s="76"/>
      <c r="E44" s="24"/>
      <c r="F44" s="76"/>
      <c r="G44" s="24"/>
      <c r="H44" s="76"/>
      <c r="I44" s="24"/>
      <c r="J44" s="77"/>
      <c r="K44" s="24"/>
      <c r="L44" s="76"/>
      <c r="N44" s="76"/>
      <c r="O44" s="76"/>
      <c r="P44" s="76"/>
      <c r="Q44" s="24"/>
      <c r="S44" s="76"/>
      <c r="T44" s="24"/>
      <c r="U44" s="76"/>
      <c r="V44" s="24"/>
      <c r="W44" s="76"/>
      <c r="Y44" s="76"/>
      <c r="AA44" s="76"/>
    </row>
    <row r="45" spans="1:29">
      <c r="A45" s="71">
        <v>24</v>
      </c>
      <c r="B45" s="72"/>
      <c r="C45" s="73" t="s">
        <v>23</v>
      </c>
      <c r="D45" s="76">
        <v>3248611.3800000004</v>
      </c>
      <c r="E45" s="24"/>
      <c r="F45" s="24">
        <v>0</v>
      </c>
      <c r="H45" s="24">
        <f>SUM(D45:G45)</f>
        <v>3248611.3800000004</v>
      </c>
      <c r="J45" s="25"/>
      <c r="K45" s="24"/>
      <c r="L45" s="76">
        <v>0</v>
      </c>
      <c r="M45" s="24"/>
      <c r="N45" s="76">
        <v>167863</v>
      </c>
      <c r="O45" s="24"/>
      <c r="P45" s="24">
        <f>+L45+N45</f>
        <v>167863</v>
      </c>
      <c r="Q45" s="24"/>
      <c r="R45" s="24"/>
      <c r="S45" s="24">
        <f>+H45+P45</f>
        <v>3416474.3800000004</v>
      </c>
      <c r="T45" s="24"/>
      <c r="U45" s="24">
        <v>0</v>
      </c>
      <c r="V45" s="24"/>
      <c r="W45" s="24">
        <v>0</v>
      </c>
      <c r="X45" s="24"/>
      <c r="Y45" s="24">
        <v>0</v>
      </c>
      <c r="Z45" s="24"/>
      <c r="AA45" s="24">
        <f>+S45+U45+W45+Y45</f>
        <v>3416474.3800000004</v>
      </c>
    </row>
    <row r="46" spans="1:29">
      <c r="A46" s="71">
        <v>25</v>
      </c>
      <c r="B46" s="72"/>
      <c r="C46" s="73" t="s">
        <v>25</v>
      </c>
      <c r="D46" s="75">
        <v>396875.17</v>
      </c>
      <c r="E46" s="24"/>
      <c r="F46" s="27">
        <f>402744.56-D46</f>
        <v>5869.390000000014</v>
      </c>
      <c r="H46" s="27">
        <f>SUM(D46:G46)</f>
        <v>402744.56</v>
      </c>
      <c r="J46" s="25" t="s">
        <v>24</v>
      </c>
      <c r="K46" s="24"/>
      <c r="L46" s="75">
        <v>0</v>
      </c>
      <c r="M46" s="24"/>
      <c r="N46" s="75">
        <v>0</v>
      </c>
      <c r="O46" s="24"/>
      <c r="P46" s="27">
        <f>+L46+N46</f>
        <v>0</v>
      </c>
      <c r="Q46" s="24"/>
      <c r="R46" s="24"/>
      <c r="S46" s="27">
        <f>+H46+P46</f>
        <v>402744.56</v>
      </c>
      <c r="T46" s="24"/>
      <c r="U46" s="27">
        <v>0</v>
      </c>
      <c r="V46" s="24"/>
      <c r="W46" s="27">
        <v>0</v>
      </c>
      <c r="X46" s="24"/>
      <c r="Y46" s="27">
        <v>0</v>
      </c>
      <c r="Z46" s="24"/>
      <c r="AA46" s="27">
        <f>+S46+U46+W46+Y46</f>
        <v>402744.56</v>
      </c>
    </row>
    <row r="47" spans="1:29">
      <c r="A47" s="71">
        <v>26</v>
      </c>
      <c r="B47" s="72"/>
      <c r="C47" s="73" t="s">
        <v>348</v>
      </c>
      <c r="D47" s="76">
        <f>SUM(D45:D46)</f>
        <v>3645486.5500000003</v>
      </c>
      <c r="E47" s="24"/>
      <c r="F47" s="76">
        <f>SUM(F45:F46)</f>
        <v>5869.390000000014</v>
      </c>
      <c r="G47" s="24"/>
      <c r="H47" s="76">
        <f>SUM(H45:H46)</f>
        <v>3651355.9400000004</v>
      </c>
      <c r="I47" s="24"/>
      <c r="J47" s="77"/>
      <c r="K47" s="24"/>
      <c r="L47" s="76">
        <f>SUM(L45:L46)</f>
        <v>0</v>
      </c>
      <c r="N47" s="76">
        <f>SUM(N45:N46)</f>
        <v>167863</v>
      </c>
      <c r="O47" s="76"/>
      <c r="P47" s="76">
        <f>SUM(P45:P46)</f>
        <v>167863</v>
      </c>
      <c r="Q47" s="76"/>
      <c r="S47" s="76">
        <f>SUM(S45:S46)</f>
        <v>3819218.9400000004</v>
      </c>
      <c r="T47" s="24"/>
      <c r="U47" s="76">
        <f>SUM(U45:U46)</f>
        <v>0</v>
      </c>
      <c r="V47" s="24"/>
      <c r="W47" s="76">
        <f>SUM(W45:W46)</f>
        <v>0</v>
      </c>
      <c r="Y47" s="76">
        <f>SUM(Y45:Y46)</f>
        <v>0</v>
      </c>
      <c r="AA47" s="76">
        <f>SUM(AA45:AA46)</f>
        <v>3819218.9400000004</v>
      </c>
    </row>
    <row r="48" spans="1:29">
      <c r="A48" s="71"/>
      <c r="B48" s="72"/>
      <c r="C48" s="72"/>
      <c r="D48" s="76"/>
      <c r="E48" s="24"/>
      <c r="F48" s="76"/>
      <c r="G48" s="24"/>
      <c r="H48" s="76"/>
      <c r="I48" s="24"/>
      <c r="J48" s="77"/>
      <c r="K48" s="24"/>
      <c r="L48" s="76"/>
      <c r="N48" s="76"/>
      <c r="O48" s="76"/>
      <c r="P48" s="76"/>
      <c r="Q48" s="16"/>
      <c r="S48" s="76"/>
      <c r="T48" s="24"/>
      <c r="U48" s="76"/>
      <c r="V48" s="24"/>
      <c r="W48" s="76"/>
      <c r="Y48" s="76"/>
      <c r="AA48" s="76"/>
    </row>
    <row r="49" spans="1:29">
      <c r="A49" s="71"/>
      <c r="B49" s="72"/>
      <c r="C49" s="72" t="s">
        <v>349</v>
      </c>
      <c r="D49" s="76"/>
      <c r="E49" s="24"/>
      <c r="F49" s="76"/>
      <c r="G49" s="24"/>
      <c r="H49" s="76"/>
      <c r="I49" s="24"/>
      <c r="J49" s="77"/>
      <c r="K49" s="24"/>
      <c r="L49" s="76"/>
      <c r="N49" s="76"/>
      <c r="O49" s="76"/>
      <c r="P49" s="76"/>
      <c r="Q49" s="16"/>
      <c r="S49" s="76"/>
      <c r="T49" s="24"/>
      <c r="U49" s="76"/>
      <c r="V49" s="24"/>
      <c r="W49" s="76"/>
      <c r="Y49" s="76"/>
      <c r="AA49" s="76"/>
    </row>
    <row r="50" spans="1:29">
      <c r="A50" s="71">
        <v>27</v>
      </c>
      <c r="B50" s="72"/>
      <c r="C50" s="73" t="s">
        <v>350</v>
      </c>
      <c r="D50" s="76">
        <v>967855.84000000008</v>
      </c>
      <c r="E50" s="24"/>
      <c r="F50" s="24">
        <v>0</v>
      </c>
      <c r="H50" s="24">
        <f>SUM(D50:G50)</f>
        <v>967855.84000000008</v>
      </c>
      <c r="J50" s="25" t="s">
        <v>24</v>
      </c>
      <c r="K50" s="24"/>
      <c r="L50" s="76">
        <v>0</v>
      </c>
      <c r="M50" s="24"/>
      <c r="N50" s="76">
        <v>0</v>
      </c>
      <c r="O50" s="24"/>
      <c r="P50" s="24">
        <f>+L50+N50</f>
        <v>0</v>
      </c>
      <c r="Q50" s="24"/>
      <c r="R50" s="24"/>
      <c r="S50" s="24">
        <f>+H50+P50</f>
        <v>967855.84000000008</v>
      </c>
      <c r="T50" s="24"/>
      <c r="U50" s="24">
        <v>0</v>
      </c>
      <c r="V50" s="24"/>
      <c r="W50" s="24">
        <v>0</v>
      </c>
      <c r="X50" s="24"/>
      <c r="Y50" s="24">
        <v>0</v>
      </c>
      <c r="Z50" s="24"/>
      <c r="AA50" s="24">
        <f>+S50+U50+W50+Y50</f>
        <v>967855.84000000008</v>
      </c>
      <c r="AC50" s="141"/>
    </row>
    <row r="51" spans="1:29">
      <c r="A51" s="71"/>
      <c r="B51" s="72"/>
      <c r="C51" s="73"/>
      <c r="D51" s="76"/>
      <c r="E51" s="24"/>
      <c r="F51" s="24"/>
      <c r="H51" s="24"/>
      <c r="J51" s="25"/>
      <c r="K51" s="24"/>
      <c r="L51" s="76"/>
      <c r="M51" s="24"/>
      <c r="N51" s="76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C51" s="141"/>
    </row>
    <row r="52" spans="1:29">
      <c r="A52" s="71">
        <v>28</v>
      </c>
      <c r="B52" s="72"/>
      <c r="C52" s="73" t="s">
        <v>351</v>
      </c>
      <c r="D52" s="76">
        <v>3777.55</v>
      </c>
      <c r="E52" s="24"/>
      <c r="F52" s="24">
        <v>0</v>
      </c>
      <c r="H52" s="24">
        <f>SUM(D52:G52)</f>
        <v>3777.55</v>
      </c>
      <c r="J52" s="25" t="s">
        <v>24</v>
      </c>
      <c r="K52" s="24"/>
      <c r="L52" s="76"/>
      <c r="M52" s="24"/>
      <c r="N52" s="76">
        <v>0</v>
      </c>
      <c r="O52" s="24"/>
      <c r="P52" s="24">
        <f>+L52+N52</f>
        <v>0</v>
      </c>
      <c r="Q52" s="24"/>
      <c r="R52" s="24"/>
      <c r="S52" s="24">
        <f>+H52+P52</f>
        <v>3777.55</v>
      </c>
      <c r="T52" s="24"/>
      <c r="U52" s="24">
        <v>0</v>
      </c>
      <c r="V52" s="24"/>
      <c r="W52" s="24">
        <v>0</v>
      </c>
      <c r="X52" s="24"/>
      <c r="Y52" s="24">
        <v>0</v>
      </c>
      <c r="Z52" s="24"/>
      <c r="AA52" s="24">
        <f>+S52+U52+W52+Y52</f>
        <v>3777.55</v>
      </c>
      <c r="AC52" s="141"/>
    </row>
    <row r="53" spans="1:29">
      <c r="A53" s="71"/>
      <c r="B53" s="72"/>
      <c r="C53" s="72"/>
      <c r="D53" s="76"/>
      <c r="E53" s="24"/>
      <c r="F53" s="76"/>
      <c r="G53" s="24"/>
      <c r="H53" s="76"/>
      <c r="I53" s="24"/>
      <c r="J53" s="77"/>
      <c r="K53" s="24"/>
      <c r="L53" s="76"/>
      <c r="N53" s="76"/>
      <c r="O53" s="76"/>
      <c r="P53" s="76"/>
      <c r="Q53" s="24"/>
      <c r="S53" s="24"/>
      <c r="T53" s="24"/>
      <c r="U53" s="76"/>
      <c r="V53" s="24"/>
      <c r="W53" s="76">
        <f>+H53+L53+N53+S53+U53</f>
        <v>0</v>
      </c>
      <c r="Y53" s="76"/>
      <c r="AA53" s="24"/>
    </row>
    <row r="54" spans="1:29">
      <c r="A54" s="71"/>
      <c r="B54" s="72"/>
      <c r="C54" s="72" t="s">
        <v>352</v>
      </c>
      <c r="D54" s="76"/>
      <c r="E54" s="24"/>
      <c r="F54" s="76"/>
      <c r="G54" s="24"/>
      <c r="H54" s="76"/>
      <c r="I54" s="24"/>
      <c r="J54" s="77"/>
      <c r="K54" s="24"/>
      <c r="L54" s="76"/>
      <c r="N54" s="76"/>
      <c r="O54" s="76"/>
      <c r="P54" s="76"/>
      <c r="Q54" s="24"/>
      <c r="S54" s="24"/>
      <c r="T54" s="24"/>
      <c r="U54" s="76"/>
      <c r="V54" s="24"/>
      <c r="W54" s="76"/>
      <c r="Y54" s="76"/>
      <c r="AA54" s="24"/>
    </row>
    <row r="55" spans="1:29">
      <c r="A55" s="71">
        <v>29</v>
      </c>
      <c r="B55" s="72"/>
      <c r="C55" s="73" t="s">
        <v>23</v>
      </c>
      <c r="D55" s="76">
        <v>375643.87</v>
      </c>
      <c r="E55" s="24"/>
      <c r="F55" s="76">
        <v>0</v>
      </c>
      <c r="G55" s="24"/>
      <c r="H55" s="76">
        <f>SUM(D55:F55)</f>
        <v>375643.87</v>
      </c>
      <c r="I55" s="24"/>
      <c r="J55" s="25" t="s">
        <v>24</v>
      </c>
      <c r="K55" s="24"/>
      <c r="L55" s="76"/>
      <c r="N55" s="76">
        <v>0</v>
      </c>
      <c r="O55" s="76"/>
      <c r="P55" s="76">
        <v>0</v>
      </c>
      <c r="Q55" s="24"/>
      <c r="S55" s="24">
        <f>+H55+P55</f>
        <v>375643.87</v>
      </c>
      <c r="T55" s="24"/>
      <c r="U55" s="76"/>
      <c r="V55" s="24"/>
      <c r="W55" s="76">
        <v>0</v>
      </c>
      <c r="Y55" s="76"/>
      <c r="AA55" s="24">
        <f>+S55+U55+W55+Y55</f>
        <v>375643.87</v>
      </c>
    </row>
    <row r="56" spans="1:29">
      <c r="A56" s="71">
        <v>30</v>
      </c>
      <c r="B56" s="72"/>
      <c r="C56" s="73" t="s">
        <v>25</v>
      </c>
      <c r="D56" s="75">
        <f>50021.07+24477.8</f>
        <v>74498.87</v>
      </c>
      <c r="E56" s="24"/>
      <c r="F56" s="75">
        <v>0</v>
      </c>
      <c r="G56" s="24"/>
      <c r="H56" s="75">
        <f>SUM(D56:F56)</f>
        <v>74498.87</v>
      </c>
      <c r="I56" s="24"/>
      <c r="J56" s="25" t="s">
        <v>24</v>
      </c>
      <c r="K56" s="24"/>
      <c r="L56" s="76"/>
      <c r="N56" s="75">
        <v>0</v>
      </c>
      <c r="O56" s="76"/>
      <c r="P56" s="75">
        <v>0</v>
      </c>
      <c r="Q56" s="24"/>
      <c r="S56" s="27">
        <f>+H56+P56</f>
        <v>74498.87</v>
      </c>
      <c r="T56" s="24"/>
      <c r="U56" s="76"/>
      <c r="V56" s="24"/>
      <c r="W56" s="75">
        <v>0</v>
      </c>
      <c r="Y56" s="76"/>
      <c r="AA56" s="27">
        <f>+S56+U56+W56+Y56</f>
        <v>74498.87</v>
      </c>
    </row>
    <row r="57" spans="1:29">
      <c r="A57" s="71">
        <v>31</v>
      </c>
      <c r="B57" s="72"/>
      <c r="C57" s="73" t="s">
        <v>353</v>
      </c>
      <c r="D57" s="76">
        <f>D55+D56</f>
        <v>450142.74</v>
      </c>
      <c r="E57" s="24"/>
      <c r="F57" s="76">
        <f>F55+F56</f>
        <v>0</v>
      </c>
      <c r="G57" s="24"/>
      <c r="H57" s="76">
        <f>H55+H56</f>
        <v>450142.74</v>
      </c>
      <c r="I57" s="76"/>
      <c r="J57" s="76"/>
      <c r="K57" s="76">
        <f>SUM(K55:K56)</f>
        <v>0</v>
      </c>
      <c r="L57" s="76">
        <f>SUM(L55:L56)</f>
        <v>0</v>
      </c>
      <c r="M57" s="76"/>
      <c r="N57" s="76">
        <f>N55+N56</f>
        <v>0</v>
      </c>
      <c r="O57" s="76"/>
      <c r="P57" s="76">
        <f>P55+P56</f>
        <v>0</v>
      </c>
      <c r="Q57" s="76"/>
      <c r="R57" s="76"/>
      <c r="S57" s="76">
        <f>S55+S56</f>
        <v>450142.74</v>
      </c>
      <c r="T57" s="76"/>
      <c r="U57" s="76">
        <f>SUM(U55:U56)</f>
        <v>0</v>
      </c>
      <c r="V57" s="76">
        <f>SUM(V55:V56)</f>
        <v>0</v>
      </c>
      <c r="W57" s="76">
        <f>W55+W56</f>
        <v>0</v>
      </c>
      <c r="X57" s="76"/>
      <c r="Y57" s="76">
        <f>SUM(Y55:Y56)</f>
        <v>0</v>
      </c>
      <c r="Z57" s="76">
        <f>SUM(Z55:Z56)</f>
        <v>0</v>
      </c>
      <c r="AA57" s="76">
        <f>AA55+AA56</f>
        <v>450142.74</v>
      </c>
    </row>
    <row r="58" spans="1:29">
      <c r="A58" s="71"/>
      <c r="B58" s="72"/>
      <c r="C58" s="72"/>
      <c r="D58" s="76"/>
      <c r="E58" s="24"/>
      <c r="F58" s="76"/>
      <c r="G58" s="24"/>
      <c r="H58" s="76"/>
      <c r="I58" s="24"/>
      <c r="J58" s="77"/>
      <c r="K58" s="24"/>
      <c r="L58" s="76"/>
      <c r="M58" s="24"/>
      <c r="N58" s="76"/>
      <c r="O58" s="76"/>
      <c r="P58" s="76"/>
      <c r="Q58" s="24"/>
      <c r="S58" s="76"/>
      <c r="T58" s="24"/>
      <c r="U58" s="76"/>
      <c r="V58" s="24"/>
      <c r="W58" s="76"/>
      <c r="Y58" s="76"/>
      <c r="AA58" s="76"/>
    </row>
    <row r="59" spans="1:29">
      <c r="A59" s="71">
        <v>32</v>
      </c>
      <c r="B59" s="72"/>
      <c r="C59" s="73" t="s">
        <v>354</v>
      </c>
      <c r="D59" s="75">
        <f>+D27+D29+D36+D42+D47+D50+D57+D52</f>
        <v>16605880.840000004</v>
      </c>
      <c r="E59" s="24"/>
      <c r="F59" s="75">
        <f>+F27+F29+F36+F42+F47+F50+F57+F52</f>
        <v>10434427.610000001</v>
      </c>
      <c r="G59" s="24"/>
      <c r="H59" s="75">
        <f>+H27+H29+H36+H42+H47+H50+H57+H52</f>
        <v>27040308.450000003</v>
      </c>
      <c r="I59" s="24"/>
      <c r="J59" s="77"/>
      <c r="K59" s="24"/>
      <c r="L59" s="75">
        <f>+L27+L42+L47+L50+L57+L29</f>
        <v>0</v>
      </c>
      <c r="M59" s="24"/>
      <c r="N59" s="75">
        <f>+N27+N29+N36+N42+N47+N50+N57+N52</f>
        <v>-12637609.760000002</v>
      </c>
      <c r="O59" s="76"/>
      <c r="P59" s="75">
        <f>+P27+P29+P36+P42+P47+P50+P57+P52</f>
        <v>-12637609.760000002</v>
      </c>
      <c r="Q59" s="76"/>
      <c r="S59" s="75">
        <f>+S27+S29+S36+S42+S47+S50+S57+S52</f>
        <v>14402698.689999999</v>
      </c>
      <c r="T59" s="24"/>
      <c r="U59" s="75">
        <f>+U27+U42+U47+U50+U57+U29</f>
        <v>0</v>
      </c>
      <c r="V59" s="24"/>
      <c r="W59" s="75">
        <f>+W27+W29+W36+W42+W47+W50+W57+W52</f>
        <v>0</v>
      </c>
      <c r="Y59" s="75">
        <f>+Y27+Y42+Y47+Y50+Y57+Y29</f>
        <v>0</v>
      </c>
      <c r="AA59" s="75">
        <f>+AA27+AA29+AA36+AA42+AA47+AA50+AA57+AA52</f>
        <v>14402698.689999999</v>
      </c>
    </row>
    <row r="60" spans="1:29">
      <c r="A60" s="71"/>
      <c r="B60" s="72"/>
      <c r="C60" s="72"/>
      <c r="D60" s="76"/>
      <c r="E60" s="24"/>
      <c r="F60" s="76"/>
      <c r="G60" s="24"/>
      <c r="H60" s="76"/>
      <c r="I60" s="24"/>
      <c r="J60" s="77"/>
      <c r="K60" s="24"/>
      <c r="L60" s="76"/>
      <c r="M60" s="24"/>
      <c r="N60" s="76"/>
      <c r="O60" s="76"/>
      <c r="P60" s="76"/>
      <c r="Q60" s="76"/>
      <c r="S60" s="76"/>
      <c r="T60" s="24"/>
      <c r="U60" s="76"/>
      <c r="V60" s="24"/>
      <c r="W60" s="76"/>
      <c r="Y60" s="76"/>
      <c r="AA60" s="76"/>
    </row>
    <row r="61" spans="1:29">
      <c r="A61" s="71">
        <v>33</v>
      </c>
      <c r="B61" s="72"/>
      <c r="C61" s="73" t="s">
        <v>355</v>
      </c>
      <c r="D61" s="76">
        <f>+D13+D59</f>
        <v>38375357.810000002</v>
      </c>
      <c r="E61" s="24"/>
      <c r="F61" s="76">
        <f>+F13+F59</f>
        <v>10434427.610000001</v>
      </c>
      <c r="G61" s="24"/>
      <c r="H61" s="76">
        <f>+H13+H59</f>
        <v>48809785.420000002</v>
      </c>
      <c r="I61" s="24"/>
      <c r="J61" s="77"/>
      <c r="K61" s="24"/>
      <c r="L61" s="76">
        <f>+L13+L59</f>
        <v>0</v>
      </c>
      <c r="M61" s="24"/>
      <c r="N61" s="76">
        <f>+N13+N59</f>
        <v>-12637609.760000002</v>
      </c>
      <c r="O61" s="76"/>
      <c r="P61" s="76">
        <f>+L61+N61</f>
        <v>-12637609.760000002</v>
      </c>
      <c r="Q61" s="76"/>
      <c r="S61" s="76">
        <f>+S13+S59</f>
        <v>36172175.659999996</v>
      </c>
      <c r="T61" s="24"/>
      <c r="U61" s="76">
        <f>+U13+U59</f>
        <v>0</v>
      </c>
      <c r="V61" s="24"/>
      <c r="W61" s="76">
        <f>+W13+W59</f>
        <v>0</v>
      </c>
      <c r="Y61" s="76">
        <f>+Y13+Y59</f>
        <v>0</v>
      </c>
      <c r="AA61" s="76">
        <f>+AA13+AA59</f>
        <v>36172175.659999996</v>
      </c>
    </row>
    <row r="62" spans="1:29">
      <c r="A62" s="71">
        <v>34</v>
      </c>
      <c r="B62" s="72"/>
      <c r="C62" s="73" t="s">
        <v>356</v>
      </c>
      <c r="D62" s="75">
        <v>-22219619.710000001</v>
      </c>
      <c r="E62" s="24"/>
      <c r="F62" s="75">
        <v>0</v>
      </c>
      <c r="G62" s="24"/>
      <c r="H62" s="75">
        <f>SUM(D62:G62)</f>
        <v>-22219619.710000001</v>
      </c>
      <c r="I62" s="24"/>
      <c r="J62" s="20"/>
      <c r="K62" s="24"/>
      <c r="L62" s="27">
        <v>0</v>
      </c>
      <c r="M62" s="24"/>
      <c r="N62" s="27">
        <v>0</v>
      </c>
      <c r="O62" s="24"/>
      <c r="P62" s="27">
        <f>+L62+N62</f>
        <v>0</v>
      </c>
      <c r="Q62" s="24"/>
      <c r="R62" s="24"/>
      <c r="S62" s="27">
        <f>+H62+P62</f>
        <v>-22219619.710000001</v>
      </c>
      <c r="T62" s="24"/>
      <c r="U62" s="27">
        <v>0</v>
      </c>
      <c r="V62" s="24"/>
      <c r="W62" s="27">
        <v>0</v>
      </c>
      <c r="X62" s="24"/>
      <c r="Y62" s="27">
        <v>0</v>
      </c>
      <c r="Z62" s="24"/>
      <c r="AA62" s="27">
        <f>+S62+U62+W62+Y62</f>
        <v>-22219619.710000001</v>
      </c>
    </row>
    <row r="63" spans="1:29" ht="18">
      <c r="A63" s="71">
        <v>35</v>
      </c>
      <c r="B63" s="72"/>
      <c r="C63" s="73" t="s">
        <v>357</v>
      </c>
      <c r="D63" s="79">
        <f>SUM(D61:D62)</f>
        <v>16155738.100000001</v>
      </c>
      <c r="E63" s="24"/>
      <c r="F63" s="79">
        <f>SUM(F61:F62)</f>
        <v>10434427.610000001</v>
      </c>
      <c r="G63" s="24"/>
      <c r="H63" s="79">
        <f>SUM(H61:H62)</f>
        <v>26590165.710000001</v>
      </c>
      <c r="I63" s="24"/>
      <c r="J63" s="80"/>
      <c r="K63" s="24"/>
      <c r="L63" s="79">
        <f>SUM(L61:L62)</f>
        <v>0</v>
      </c>
      <c r="M63" s="24"/>
      <c r="N63" s="79">
        <f>SUM(N61:N62)</f>
        <v>-12637609.760000002</v>
      </c>
      <c r="O63" s="74"/>
      <c r="P63" s="79">
        <f>SUM(P61:P62)</f>
        <v>-12637609.760000002</v>
      </c>
      <c r="Q63" s="81" t="s">
        <v>358</v>
      </c>
      <c r="S63" s="79">
        <f>SUM(S61:S62)</f>
        <v>13952555.949999996</v>
      </c>
      <c r="T63" s="24"/>
      <c r="U63" s="79">
        <f>SUM(U61:U62)</f>
        <v>0</v>
      </c>
      <c r="V63" s="24"/>
      <c r="W63" s="79">
        <f>SUM(W61:W62)</f>
        <v>0</v>
      </c>
      <c r="Y63" s="79">
        <f>SUM(Y61:Y62)</f>
        <v>0</v>
      </c>
      <c r="AA63" s="79">
        <f>SUM(AA61:AA62)</f>
        <v>13952555.949999996</v>
      </c>
    </row>
    <row r="64" spans="1:29">
      <c r="A64" s="71"/>
      <c r="B64" s="72"/>
      <c r="C64" s="72"/>
      <c r="D64" s="74"/>
      <c r="E64" s="24"/>
      <c r="F64" s="74"/>
      <c r="G64" s="24"/>
      <c r="H64" s="74"/>
      <c r="I64" s="24"/>
      <c r="J64" s="76"/>
      <c r="K64" s="24"/>
      <c r="L64" s="74"/>
      <c r="M64" s="24"/>
      <c r="N64" s="74"/>
      <c r="O64" s="74"/>
      <c r="P64" s="24"/>
      <c r="Q64" s="24"/>
      <c r="S64" s="74"/>
      <c r="T64" s="24"/>
      <c r="U64" s="74"/>
      <c r="V64" s="24"/>
      <c r="W64" s="74"/>
      <c r="AA64" s="74"/>
    </row>
    <row r="65" spans="1:24">
      <c r="A65" s="71"/>
      <c r="B65" s="140" t="s">
        <v>329</v>
      </c>
      <c r="C65" s="72" t="s">
        <v>359</v>
      </c>
      <c r="D65" s="74"/>
      <c r="E65" s="24"/>
      <c r="F65" s="74"/>
      <c r="G65" s="24"/>
      <c r="H65" s="74"/>
      <c r="I65" s="24"/>
      <c r="J65" s="76"/>
      <c r="K65" s="24"/>
      <c r="L65" s="74"/>
      <c r="M65" s="24"/>
      <c r="N65" s="24"/>
      <c r="O65" s="74"/>
      <c r="P65" s="74"/>
      <c r="Q65" s="74"/>
      <c r="R65" s="24"/>
      <c r="S65" s="24"/>
      <c r="T65" s="74"/>
      <c r="U65" s="24"/>
      <c r="V65" s="74"/>
      <c r="W65" s="24"/>
      <c r="X65" s="74"/>
    </row>
    <row r="66" spans="1:24">
      <c r="A66" s="71"/>
      <c r="B66" s="140"/>
      <c r="C66" s="72" t="s">
        <v>360</v>
      </c>
      <c r="D66" s="74"/>
      <c r="E66" s="24"/>
      <c r="F66" s="74"/>
      <c r="G66" s="24"/>
      <c r="H66" s="74"/>
      <c r="I66" s="24"/>
      <c r="J66" s="76"/>
      <c r="K66" s="24"/>
      <c r="L66" s="74"/>
      <c r="M66" s="24"/>
      <c r="N66" s="24"/>
      <c r="O66" s="74"/>
      <c r="P66" s="74"/>
      <c r="Q66" s="74"/>
      <c r="R66" s="24"/>
      <c r="S66" s="24"/>
      <c r="T66" s="74"/>
      <c r="U66" s="24"/>
      <c r="V66" s="74"/>
      <c r="W66" s="24"/>
      <c r="X66" s="74"/>
    </row>
    <row r="67" spans="1:24">
      <c r="A67" s="71"/>
      <c r="B67" s="140"/>
      <c r="C67" s="72" t="s">
        <v>361</v>
      </c>
      <c r="D67" s="74"/>
      <c r="E67" s="24"/>
      <c r="F67" s="74"/>
      <c r="G67" s="24"/>
      <c r="H67" s="74"/>
      <c r="I67" s="24"/>
      <c r="J67" s="76"/>
      <c r="K67" s="24"/>
      <c r="L67" s="74"/>
      <c r="M67" s="24"/>
      <c r="N67" s="24"/>
      <c r="O67" s="74"/>
      <c r="P67" s="74"/>
      <c r="Q67" s="74"/>
      <c r="R67" s="24"/>
      <c r="S67" s="24"/>
      <c r="T67" s="74"/>
      <c r="U67" s="24"/>
      <c r="V67" s="74"/>
      <c r="W67" s="24"/>
      <c r="X67" s="74"/>
    </row>
    <row r="68" spans="1:24">
      <c r="A68" s="71"/>
      <c r="B68" s="140"/>
      <c r="C68" s="72" t="s">
        <v>362</v>
      </c>
      <c r="D68" s="74"/>
      <c r="E68" s="24"/>
      <c r="F68" s="74"/>
      <c r="G68" s="24"/>
      <c r="H68" s="74"/>
      <c r="I68" s="24"/>
      <c r="J68" s="76"/>
      <c r="K68" s="24"/>
      <c r="L68" s="74"/>
      <c r="M68" s="24"/>
      <c r="N68" s="24"/>
      <c r="O68" s="74"/>
      <c r="P68" s="74"/>
      <c r="Q68" s="74"/>
      <c r="R68" s="24"/>
      <c r="S68" s="24"/>
      <c r="T68" s="74"/>
      <c r="U68" s="24"/>
      <c r="V68" s="74"/>
      <c r="W68" s="24"/>
      <c r="X68" s="74"/>
    </row>
    <row r="69" spans="1:24">
      <c r="B69" s="140" t="s">
        <v>300</v>
      </c>
      <c r="C69" s="72" t="s">
        <v>359</v>
      </c>
    </row>
    <row r="70" spans="1:24">
      <c r="C70" s="72" t="s">
        <v>363</v>
      </c>
    </row>
    <row r="71" spans="1:24">
      <c r="C71" s="72" t="s">
        <v>364</v>
      </c>
    </row>
    <row r="72" spans="1:24">
      <c r="C72" s="72" t="s">
        <v>365</v>
      </c>
    </row>
    <row r="73" spans="1:24">
      <c r="C73" s="72" t="s">
        <v>366</v>
      </c>
    </row>
  </sheetData>
  <mergeCells count="5">
    <mergeCell ref="A1:AA1"/>
    <mergeCell ref="A2:AA2"/>
    <mergeCell ref="A3:AA3"/>
    <mergeCell ref="A4:X4"/>
    <mergeCell ref="J6:N6"/>
  </mergeCells>
  <printOptions horizontalCentered="1"/>
  <pageMargins left="1" right="1" top="1" bottom="1" header="0.3" footer="0.3"/>
  <pageSetup scale="49" fitToWidth="0" pageOrder="overThenDown" orientation="landscape" r:id="rId1"/>
  <headerFooter alignWithMargins="0">
    <oddFooter>&amp;R&amp;"Arial,Regular"Exhibit No. 18
Case No. IPC-E-25-16
P. Jeppsen, IPC
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>
    <pageSetUpPr fitToPage="1"/>
  </sheetPr>
  <dimension ref="A1:AB45"/>
  <sheetViews>
    <sheetView zoomScale="80" zoomScaleNormal="80" workbookViewId="0">
      <selection activeCell="C42" sqref="C42"/>
    </sheetView>
  </sheetViews>
  <sheetFormatPr defaultColWidth="9.75" defaultRowHeight="12.75"/>
  <cols>
    <col min="1" max="1" width="6.875" style="1" customWidth="1"/>
    <col min="2" max="2" width="1.375" style="1" customWidth="1"/>
    <col min="3" max="3" width="81.875" style="1" bestFit="1" customWidth="1"/>
    <col min="4" max="4" width="1.375" style="1" customWidth="1"/>
    <col min="5" max="5" width="15.875" style="1" customWidth="1"/>
    <col min="6" max="6" width="1.125" style="1" customWidth="1"/>
    <col min="7" max="7" width="11.875" style="1" bestFit="1" customWidth="1"/>
    <col min="8" max="8" width="2.375" style="1" customWidth="1"/>
    <col min="9" max="9" width="15.75" style="1" customWidth="1"/>
    <col min="10" max="10" width="1.25" style="1" customWidth="1"/>
    <col min="11" max="11" width="8.875" style="1" customWidth="1"/>
    <col min="12" max="12" width="0.875" style="1" customWidth="1"/>
    <col min="13" max="13" width="11.875" style="1" hidden="1" customWidth="1"/>
    <col min="14" max="14" width="1.125" style="1" hidden="1" customWidth="1"/>
    <col min="15" max="15" width="16.25" style="1" customWidth="1"/>
    <col min="16" max="16" width="1.25" style="1" customWidth="1"/>
    <col min="17" max="17" width="15.375" style="1" customWidth="1"/>
    <col min="18" max="18" width="6" style="1" customWidth="1"/>
    <col min="19" max="19" width="1.125" style="1" customWidth="1"/>
    <col min="20" max="20" width="14.875" style="1" customWidth="1"/>
    <col min="21" max="21" width="1.875" style="1" customWidth="1"/>
    <col min="22" max="22" width="10.25" style="1" hidden="1" customWidth="1"/>
    <col min="23" max="23" width="1.75" style="1" hidden="1" customWidth="1"/>
    <col min="24" max="24" width="13" style="1" bestFit="1" customWidth="1"/>
    <col min="25" max="25" width="1.75" style="1" hidden="1" customWidth="1"/>
    <col min="26" max="26" width="11.875" style="1" hidden="1" customWidth="1"/>
    <col min="27" max="27" width="1.375" style="1" customWidth="1"/>
    <col min="28" max="28" width="15" style="1" customWidth="1"/>
    <col min="29" max="16384" width="9.75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>
      <c r="A2" s="231" t="s">
        <v>367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">
        <v>368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28">
      <c r="A4" s="231" t="str">
        <f>+OthOpRev451_454_456!A3</f>
        <v>For Twelve Months Ended December 31, 2025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</row>
    <row r="8" spans="1:28">
      <c r="A8" s="2">
        <v>-1</v>
      </c>
      <c r="C8" s="2">
        <v>-2</v>
      </c>
      <c r="D8" s="2"/>
      <c r="E8" s="2">
        <v>-3</v>
      </c>
      <c r="F8" s="3"/>
      <c r="G8" s="2">
        <v>-4</v>
      </c>
      <c r="H8" s="2"/>
      <c r="I8" s="2">
        <v>-5</v>
      </c>
      <c r="J8" s="2"/>
      <c r="K8" s="2">
        <v>-6</v>
      </c>
      <c r="L8" s="2"/>
      <c r="M8" s="2">
        <v>-7</v>
      </c>
      <c r="N8" s="2"/>
      <c r="O8" s="2">
        <v>-7</v>
      </c>
      <c r="P8" s="2"/>
      <c r="Q8" s="2">
        <v>-8</v>
      </c>
      <c r="R8" s="2"/>
      <c r="S8" s="2"/>
      <c r="T8" s="2">
        <v>-9</v>
      </c>
      <c r="U8" s="2"/>
      <c r="V8" s="2">
        <v>-11</v>
      </c>
      <c r="X8" s="2">
        <v>-10</v>
      </c>
      <c r="Y8" s="4"/>
      <c r="Z8" s="2">
        <v>-13</v>
      </c>
      <c r="AA8" s="2"/>
      <c r="AB8" s="2">
        <v>-11</v>
      </c>
    </row>
    <row r="9" spans="1:28">
      <c r="E9" s="5"/>
      <c r="F9" s="3"/>
      <c r="G9" s="3"/>
      <c r="H9" s="3"/>
      <c r="J9" s="3"/>
      <c r="K9" s="232" t="s">
        <v>3</v>
      </c>
      <c r="L9" s="232"/>
      <c r="M9" s="232"/>
      <c r="N9" s="232"/>
      <c r="O9" s="232"/>
      <c r="P9" s="6"/>
      <c r="Q9" s="3"/>
      <c r="R9" s="3"/>
      <c r="S9" s="3"/>
      <c r="T9" s="7" t="s">
        <v>4</v>
      </c>
      <c r="U9" s="3"/>
      <c r="V9" s="3"/>
      <c r="W9" s="5"/>
      <c r="X9" s="5"/>
      <c r="Y9" s="5"/>
      <c r="AA9" s="5"/>
    </row>
    <row r="10" spans="1:28">
      <c r="A10" s="8" t="s">
        <v>5</v>
      </c>
      <c r="B10" s="8"/>
      <c r="E10" s="5">
        <v>2024</v>
      </c>
      <c r="F10" s="3"/>
      <c r="G10" s="5">
        <v>2024</v>
      </c>
      <c r="H10" s="3"/>
      <c r="I10" s="5">
        <v>2024</v>
      </c>
      <c r="J10" s="6"/>
      <c r="K10" s="5">
        <v>2024</v>
      </c>
      <c r="L10" s="6"/>
      <c r="M10" s="6" t="s">
        <v>6</v>
      </c>
      <c r="N10" s="6"/>
      <c r="O10" s="6"/>
      <c r="P10" s="6"/>
      <c r="Q10" s="6"/>
      <c r="R10" s="6" t="s">
        <v>7</v>
      </c>
      <c r="S10" s="6"/>
      <c r="T10" s="9" t="s">
        <v>8</v>
      </c>
      <c r="U10" s="6"/>
      <c r="V10" s="6"/>
      <c r="W10" s="6"/>
      <c r="X10" s="8"/>
      <c r="Y10" s="5"/>
      <c r="Z10" s="8" t="s">
        <v>9</v>
      </c>
      <c r="AA10" s="8"/>
      <c r="AB10" s="5" t="s">
        <v>4</v>
      </c>
    </row>
    <row r="11" spans="1:28">
      <c r="A11" s="10" t="s">
        <v>10</v>
      </c>
      <c r="B11" s="8"/>
      <c r="C11" s="10" t="s">
        <v>11</v>
      </c>
      <c r="E11" s="11" t="s">
        <v>12</v>
      </c>
      <c r="F11" s="3"/>
      <c r="G11" s="12" t="s">
        <v>13</v>
      </c>
      <c r="H11" s="6"/>
      <c r="I11" s="13" t="s">
        <v>14</v>
      </c>
      <c r="J11" s="6"/>
      <c r="K11" s="13" t="s">
        <v>14</v>
      </c>
      <c r="L11" s="6"/>
      <c r="M11" s="13" t="s">
        <v>15</v>
      </c>
      <c r="N11" s="6"/>
      <c r="O11" s="14" t="s">
        <v>16</v>
      </c>
      <c r="P11" s="9"/>
      <c r="Q11" s="13" t="s">
        <v>17</v>
      </c>
      <c r="R11" s="13" t="s">
        <v>10</v>
      </c>
      <c r="S11" s="6"/>
      <c r="T11" s="14" t="s">
        <v>18</v>
      </c>
      <c r="U11" s="6"/>
      <c r="V11" s="13" t="s">
        <v>19</v>
      </c>
      <c r="W11" s="6"/>
      <c r="X11" s="10" t="s">
        <v>20</v>
      </c>
      <c r="Y11" s="8"/>
      <c r="Z11" s="10" t="s">
        <v>21</v>
      </c>
      <c r="AA11" s="8"/>
      <c r="AB11" s="10" t="s">
        <v>18</v>
      </c>
    </row>
    <row r="12" spans="1:28">
      <c r="F12" s="15"/>
    </row>
    <row r="13" spans="1:28">
      <c r="C13" s="21" t="s">
        <v>369</v>
      </c>
      <c r="E13" s="15"/>
    </row>
    <row r="14" spans="1:28">
      <c r="E14" s="15"/>
    </row>
    <row r="15" spans="1:28">
      <c r="A15" s="8" t="s">
        <v>249</v>
      </c>
      <c r="B15" s="8"/>
      <c r="C15" s="39" t="s">
        <v>370</v>
      </c>
      <c r="D15" s="67" t="s">
        <v>307</v>
      </c>
      <c r="E15" s="49">
        <v>2670559.0099999998</v>
      </c>
      <c r="G15" s="19">
        <v>0</v>
      </c>
      <c r="I15" s="19">
        <f>SUM(E15:H15)</f>
        <v>2670559.0099999998</v>
      </c>
      <c r="K15" s="19"/>
      <c r="L15" s="19"/>
      <c r="M15" s="19">
        <v>0</v>
      </c>
      <c r="N15" s="19"/>
      <c r="O15" s="19">
        <v>1029441</v>
      </c>
      <c r="P15" s="19"/>
      <c r="Q15" s="19">
        <f>O15</f>
        <v>1029441</v>
      </c>
      <c r="R15" s="19"/>
      <c r="S15" s="19"/>
      <c r="T15" s="19">
        <f>+I15+Q15</f>
        <v>3700000.01</v>
      </c>
      <c r="U15" s="19"/>
      <c r="V15" s="19">
        <v>0</v>
      </c>
      <c r="W15" s="19"/>
      <c r="X15" s="19">
        <v>0</v>
      </c>
      <c r="Y15" s="19"/>
      <c r="Z15" s="19">
        <v>0</v>
      </c>
      <c r="AA15" s="19"/>
      <c r="AB15" s="19">
        <f>+T15+V15+X15+Z15</f>
        <v>3700000.01</v>
      </c>
    </row>
    <row r="16" spans="1:28">
      <c r="C16" s="52"/>
      <c r="D16" s="83"/>
      <c r="E16" s="15"/>
      <c r="G16" s="24"/>
      <c r="I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B16" s="24"/>
    </row>
    <row r="17" spans="1:28">
      <c r="A17" s="8" t="s">
        <v>251</v>
      </c>
      <c r="B17" s="8"/>
      <c r="C17" s="39" t="s">
        <v>371</v>
      </c>
      <c r="D17" s="67" t="s">
        <v>307</v>
      </c>
      <c r="E17" s="24">
        <v>185926</v>
      </c>
      <c r="G17" s="24">
        <v>0</v>
      </c>
      <c r="I17" s="24">
        <f>SUM(E17:H17)</f>
        <v>185926</v>
      </c>
      <c r="K17" s="24"/>
      <c r="L17" s="24"/>
      <c r="M17" s="24">
        <v>0</v>
      </c>
      <c r="N17" s="24"/>
      <c r="O17" s="24">
        <v>119158</v>
      </c>
      <c r="P17" s="24"/>
      <c r="Q17" s="24">
        <f>O17</f>
        <v>119158</v>
      </c>
      <c r="R17" s="24"/>
      <c r="S17" s="24"/>
      <c r="T17" s="24">
        <f>+I17+Q17</f>
        <v>305084</v>
      </c>
      <c r="U17" s="24"/>
      <c r="V17" s="24">
        <v>0</v>
      </c>
      <c r="W17" s="24"/>
      <c r="X17" s="24">
        <v>0</v>
      </c>
      <c r="Y17" s="24"/>
      <c r="Z17" s="24">
        <v>0</v>
      </c>
      <c r="AB17" s="24">
        <f t="shared" ref="AB17" si="0">+T17+V17+X17+Z17</f>
        <v>305084</v>
      </c>
    </row>
    <row r="18" spans="1:28">
      <c r="C18" s="52"/>
      <c r="D18" s="67" t="s">
        <v>307</v>
      </c>
      <c r="E18" s="24"/>
      <c r="G18" s="65"/>
      <c r="H18" s="62"/>
      <c r="I18" s="65"/>
      <c r="J18" s="62"/>
      <c r="K18" s="65"/>
      <c r="L18" s="62"/>
      <c r="M18" s="65"/>
      <c r="N18" s="65"/>
      <c r="O18" s="85"/>
      <c r="P18" s="62"/>
      <c r="Q18" s="65"/>
      <c r="R18" s="65"/>
      <c r="S18" s="63"/>
      <c r="T18" s="65"/>
      <c r="U18" s="62"/>
      <c r="V18" s="65"/>
      <c r="W18" s="62"/>
      <c r="X18" s="65"/>
      <c r="Y18" s="62"/>
      <c r="Z18" s="65"/>
      <c r="AA18" s="65"/>
      <c r="AB18" s="65"/>
    </row>
    <row r="19" spans="1:28">
      <c r="A19" s="8" t="s">
        <v>253</v>
      </c>
      <c r="B19" s="8"/>
      <c r="C19" s="39" t="s">
        <v>372</v>
      </c>
      <c r="D19" s="67" t="s">
        <v>307</v>
      </c>
      <c r="E19" s="24">
        <v>0</v>
      </c>
      <c r="G19" s="24">
        <v>0</v>
      </c>
      <c r="I19" s="24">
        <f>SUM(E19:H19)</f>
        <v>0</v>
      </c>
      <c r="K19" s="24"/>
      <c r="L19" s="24"/>
      <c r="M19" s="24">
        <v>0</v>
      </c>
      <c r="N19" s="24"/>
      <c r="O19" s="85">
        <v>0</v>
      </c>
      <c r="P19" s="24"/>
      <c r="Q19" s="24">
        <f>O19</f>
        <v>0</v>
      </c>
      <c r="R19" s="24"/>
      <c r="S19" s="24"/>
      <c r="T19" s="24">
        <f>+I19+Q19</f>
        <v>0</v>
      </c>
      <c r="U19" s="24"/>
      <c r="V19" s="24">
        <v>0</v>
      </c>
      <c r="W19" s="24"/>
      <c r="X19" s="24">
        <v>0</v>
      </c>
      <c r="Y19" s="24"/>
      <c r="Z19" s="24">
        <v>0</v>
      </c>
      <c r="AB19" s="24">
        <f t="shared" ref="AB19" si="1">+T19+V19+X19+Z19</f>
        <v>0</v>
      </c>
    </row>
    <row r="20" spans="1:28">
      <c r="A20" s="8"/>
      <c r="B20" s="8"/>
      <c r="C20" s="39"/>
      <c r="D20" s="67"/>
      <c r="E20" s="24"/>
      <c r="G20" s="65"/>
      <c r="H20" s="62"/>
      <c r="I20" s="65"/>
      <c r="J20" s="62"/>
      <c r="K20" s="65"/>
      <c r="L20" s="62"/>
      <c r="M20" s="65"/>
      <c r="N20" s="65"/>
      <c r="O20" s="24"/>
      <c r="P20" s="62"/>
      <c r="Q20" s="65"/>
      <c r="R20" s="65"/>
      <c r="S20" s="63"/>
      <c r="T20" s="65"/>
      <c r="U20" s="62"/>
      <c r="V20" s="65"/>
      <c r="W20" s="62"/>
      <c r="X20" s="65"/>
      <c r="Y20" s="62"/>
      <c r="Z20" s="65"/>
      <c r="AA20" s="65"/>
      <c r="AB20" s="65"/>
    </row>
    <row r="21" spans="1:28">
      <c r="A21" s="8">
        <v>4</v>
      </c>
      <c r="B21" s="8"/>
      <c r="C21" s="39" t="s">
        <v>373</v>
      </c>
      <c r="D21" s="67"/>
      <c r="E21" s="27">
        <v>0</v>
      </c>
      <c r="G21" s="27">
        <v>0</v>
      </c>
      <c r="I21" s="27">
        <f>SUM(E21:H21)</f>
        <v>0</v>
      </c>
      <c r="K21" s="24"/>
      <c r="L21" s="24"/>
      <c r="M21" s="27">
        <v>0</v>
      </c>
      <c r="N21" s="24"/>
      <c r="O21" s="27">
        <v>0</v>
      </c>
      <c r="P21" s="24"/>
      <c r="Q21" s="27">
        <f>O21</f>
        <v>0</v>
      </c>
      <c r="R21" s="24"/>
      <c r="S21" s="24"/>
      <c r="T21" s="27">
        <f>+I21+Q21</f>
        <v>0</v>
      </c>
      <c r="U21" s="24"/>
      <c r="V21" s="27">
        <v>0</v>
      </c>
      <c r="W21" s="24"/>
      <c r="X21" s="27">
        <v>0</v>
      </c>
      <c r="Y21" s="24"/>
      <c r="Z21" s="27">
        <v>0</v>
      </c>
      <c r="AB21" s="27">
        <f t="shared" ref="AB21" si="2">+T21+V21+X21+Z21</f>
        <v>0</v>
      </c>
    </row>
    <row r="22" spans="1:28">
      <c r="C22" s="52"/>
      <c r="D22" s="67" t="s">
        <v>307</v>
      </c>
      <c r="E22" s="24"/>
      <c r="G22" s="24"/>
      <c r="I22" s="24"/>
      <c r="K22" s="24"/>
      <c r="M22" s="24"/>
      <c r="N22" s="24"/>
      <c r="O22" s="24"/>
      <c r="Q22" s="24"/>
      <c r="R22" s="24"/>
      <c r="T22" s="24"/>
      <c r="U22" s="24"/>
      <c r="V22" s="24"/>
      <c r="X22" s="24"/>
      <c r="Z22" s="24"/>
      <c r="AB22" s="24"/>
    </row>
    <row r="23" spans="1:28">
      <c r="A23" s="8">
        <v>5</v>
      </c>
      <c r="B23" s="8"/>
      <c r="C23" s="39" t="s">
        <v>374</v>
      </c>
      <c r="D23" s="67" t="s">
        <v>307</v>
      </c>
      <c r="E23" s="27">
        <f>SUM(E15:E22)</f>
        <v>2856485.01</v>
      </c>
      <c r="G23" s="27">
        <f>SUM(G15:G22)</f>
        <v>0</v>
      </c>
      <c r="I23" s="27">
        <f>SUM(I15:I22)</f>
        <v>2856485.01</v>
      </c>
      <c r="K23" s="24"/>
      <c r="M23" s="27">
        <f>SUM(M15:M22)</f>
        <v>0</v>
      </c>
      <c r="N23" s="24"/>
      <c r="O23" s="27">
        <f>SUM(O15:O22)</f>
        <v>1148599</v>
      </c>
      <c r="Q23" s="27">
        <f>SUM(Q15:Q22)</f>
        <v>1148599</v>
      </c>
      <c r="R23" s="24"/>
      <c r="T23" s="27">
        <f>SUM(T15:T22)</f>
        <v>4005084.01</v>
      </c>
      <c r="U23" s="24"/>
      <c r="V23" s="27">
        <f>SUM(V15:V22)</f>
        <v>0</v>
      </c>
      <c r="X23" s="27">
        <f>SUM(X15:X22)</f>
        <v>0</v>
      </c>
      <c r="Z23" s="27">
        <f>SUM(Z15:Z22)</f>
        <v>0</v>
      </c>
      <c r="AB23" s="27">
        <f>SUM(AB15:AB22)</f>
        <v>4005084.01</v>
      </c>
    </row>
    <row r="24" spans="1:28">
      <c r="C24" s="52"/>
      <c r="D24" s="67" t="s">
        <v>307</v>
      </c>
      <c r="E24" s="24"/>
      <c r="G24" s="24"/>
      <c r="I24" s="24"/>
      <c r="K24" s="24"/>
      <c r="M24" s="24"/>
      <c r="N24" s="24"/>
      <c r="O24" s="24"/>
      <c r="Q24" s="24"/>
      <c r="R24" s="24"/>
      <c r="T24" s="24"/>
      <c r="U24" s="24"/>
      <c r="V24" s="24"/>
      <c r="X24" s="24"/>
      <c r="Z24" s="24"/>
      <c r="AB24" s="24"/>
    </row>
    <row r="25" spans="1:28">
      <c r="C25" s="21" t="s">
        <v>375</v>
      </c>
      <c r="D25" s="67" t="s">
        <v>307</v>
      </c>
      <c r="E25" s="24"/>
      <c r="G25" s="24"/>
      <c r="I25" s="24"/>
      <c r="K25" s="24"/>
      <c r="M25" s="24"/>
      <c r="N25" s="24"/>
      <c r="O25" s="24"/>
      <c r="Q25" s="24"/>
      <c r="R25" s="24"/>
      <c r="T25" s="24"/>
      <c r="U25" s="24"/>
      <c r="V25" s="24"/>
      <c r="X25" s="24"/>
      <c r="Z25" s="24"/>
      <c r="AB25" s="24"/>
    </row>
    <row r="26" spans="1:28">
      <c r="C26" s="52"/>
      <c r="D26" s="67" t="s">
        <v>307</v>
      </c>
      <c r="E26" s="24"/>
      <c r="G26" s="24"/>
      <c r="I26" s="24"/>
      <c r="K26" s="24"/>
      <c r="M26" s="24"/>
      <c r="N26" s="24"/>
      <c r="O26" s="24"/>
      <c r="Q26" s="24"/>
      <c r="R26" s="24"/>
      <c r="T26" s="24"/>
      <c r="U26" s="24"/>
      <c r="V26" s="24"/>
      <c r="X26" s="24"/>
      <c r="Z26" s="24"/>
      <c r="AB26" s="24"/>
    </row>
    <row r="27" spans="1:28">
      <c r="A27" s="8">
        <v>6</v>
      </c>
      <c r="B27" s="8"/>
      <c r="C27" s="39" t="s">
        <v>376</v>
      </c>
      <c r="D27" s="67" t="s">
        <v>307</v>
      </c>
      <c r="E27" s="24">
        <v>185926</v>
      </c>
      <c r="G27" s="24">
        <v>0</v>
      </c>
      <c r="I27" s="24">
        <f>SUM(E27:H27)</f>
        <v>185926</v>
      </c>
      <c r="K27" s="24"/>
      <c r="L27" s="24"/>
      <c r="M27" s="24">
        <v>0</v>
      </c>
      <c r="N27" s="24"/>
      <c r="O27" s="24">
        <v>119158</v>
      </c>
      <c r="P27" s="24"/>
      <c r="Q27" s="24">
        <f>O27</f>
        <v>119158</v>
      </c>
      <c r="R27" s="24"/>
      <c r="S27" s="24"/>
      <c r="T27" s="24">
        <f>+I27+Q27</f>
        <v>305084</v>
      </c>
      <c r="U27" s="24"/>
      <c r="V27" s="24">
        <v>0</v>
      </c>
      <c r="W27" s="24"/>
      <c r="X27" s="24">
        <v>0</v>
      </c>
      <c r="Y27" s="24"/>
      <c r="Z27" s="24">
        <v>0</v>
      </c>
      <c r="AB27" s="24">
        <f t="shared" ref="AB27" si="3">+T27+V27+X27+Z27</f>
        <v>305084</v>
      </c>
    </row>
    <row r="28" spans="1:28">
      <c r="C28" s="52"/>
      <c r="D28" s="67" t="s">
        <v>307</v>
      </c>
      <c r="E28" s="24"/>
      <c r="G28" s="65"/>
      <c r="H28" s="62"/>
      <c r="I28" s="65"/>
      <c r="J28" s="62"/>
      <c r="K28" s="65"/>
      <c r="L28" s="62"/>
      <c r="M28" s="65"/>
      <c r="N28" s="65"/>
      <c r="O28" s="65"/>
      <c r="P28" s="62"/>
      <c r="Q28" s="65"/>
      <c r="R28" s="65"/>
      <c r="S28" s="63"/>
      <c r="T28" s="65"/>
      <c r="U28" s="62"/>
      <c r="V28" s="65"/>
      <c r="W28" s="62"/>
      <c r="X28" s="65"/>
      <c r="Y28" s="62"/>
      <c r="Z28" s="65"/>
      <c r="AA28" s="65"/>
      <c r="AB28" s="65"/>
    </row>
    <row r="29" spans="1:28">
      <c r="A29" s="8">
        <v>7</v>
      </c>
      <c r="B29" s="8"/>
      <c r="C29" s="39" t="s">
        <v>377</v>
      </c>
      <c r="D29" s="67" t="s">
        <v>307</v>
      </c>
      <c r="E29" s="24">
        <v>349244</v>
      </c>
      <c r="G29" s="24">
        <v>0</v>
      </c>
      <c r="I29" s="24">
        <f>SUM(E29:H29)</f>
        <v>349244</v>
      </c>
      <c r="K29" s="24"/>
      <c r="L29" s="24"/>
      <c r="M29" s="24">
        <v>0</v>
      </c>
      <c r="N29" s="24"/>
      <c r="O29" s="24">
        <v>317850</v>
      </c>
      <c r="P29" s="24"/>
      <c r="Q29" s="24">
        <f>O29</f>
        <v>317850</v>
      </c>
      <c r="R29" s="24"/>
      <c r="S29" s="24"/>
      <c r="T29" s="24">
        <f>+I29+Q29</f>
        <v>667094</v>
      </c>
      <c r="U29" s="24"/>
      <c r="V29" s="24">
        <v>0</v>
      </c>
      <c r="W29" s="24"/>
      <c r="X29" s="24">
        <v>0</v>
      </c>
      <c r="Y29" s="24"/>
      <c r="Z29" s="24">
        <v>0</v>
      </c>
      <c r="AB29" s="24">
        <f t="shared" ref="AB29" si="4">+T29+V29+X29+Z29</f>
        <v>667094</v>
      </c>
    </row>
    <row r="30" spans="1:28">
      <c r="C30" s="52"/>
      <c r="D30" s="67" t="s">
        <v>307</v>
      </c>
      <c r="E30" s="24"/>
      <c r="G30" s="24"/>
      <c r="I30" s="24"/>
      <c r="K30" s="24"/>
      <c r="M30" s="24"/>
      <c r="N30" s="24"/>
      <c r="O30" s="24"/>
      <c r="Q30" s="24"/>
      <c r="R30" s="24"/>
      <c r="T30" s="24"/>
      <c r="U30" s="24"/>
      <c r="V30" s="24"/>
      <c r="X30" s="24"/>
      <c r="Z30" s="24"/>
      <c r="AB30" s="24"/>
    </row>
    <row r="31" spans="1:28">
      <c r="A31" s="8">
        <v>8</v>
      </c>
      <c r="B31" s="8"/>
      <c r="C31" s="39" t="s">
        <v>378</v>
      </c>
      <c r="D31" s="67" t="s">
        <v>307</v>
      </c>
      <c r="E31" s="24">
        <v>0</v>
      </c>
      <c r="G31" s="24">
        <v>0</v>
      </c>
      <c r="I31" s="24">
        <f>SUM(E31:H31)</f>
        <v>0</v>
      </c>
      <c r="K31" s="24"/>
      <c r="L31" s="24"/>
      <c r="M31" s="24">
        <v>0</v>
      </c>
      <c r="N31" s="24"/>
      <c r="O31" s="24">
        <f>+I31+K31+M31</f>
        <v>0</v>
      </c>
      <c r="P31" s="24"/>
      <c r="Q31" s="24">
        <f>O31</f>
        <v>0</v>
      </c>
      <c r="R31" s="24"/>
      <c r="S31" s="24"/>
      <c r="T31" s="24">
        <f>+I31+Q31</f>
        <v>0</v>
      </c>
      <c r="U31" s="24"/>
      <c r="V31" s="24">
        <v>0</v>
      </c>
      <c r="W31" s="24"/>
      <c r="X31" s="24">
        <v>0</v>
      </c>
      <c r="Y31" s="24"/>
      <c r="Z31" s="24">
        <v>0</v>
      </c>
      <c r="AB31" s="24">
        <f t="shared" ref="AB31" si="5">+T31+V31+X31+Z31</f>
        <v>0</v>
      </c>
    </row>
    <row r="32" spans="1:28">
      <c r="C32" s="52"/>
      <c r="D32" s="67" t="s">
        <v>307</v>
      </c>
      <c r="E32" s="24"/>
      <c r="G32" s="65"/>
      <c r="H32" s="62"/>
      <c r="I32" s="65"/>
      <c r="J32" s="62"/>
      <c r="K32" s="65"/>
      <c r="L32" s="62"/>
      <c r="M32" s="65"/>
      <c r="N32" s="65"/>
      <c r="O32" s="65"/>
      <c r="P32" s="62"/>
      <c r="Q32" s="65"/>
      <c r="R32" s="65"/>
      <c r="S32" s="63"/>
      <c r="T32" s="65"/>
      <c r="U32" s="62"/>
      <c r="V32" s="65"/>
      <c r="W32" s="62"/>
      <c r="X32" s="65"/>
      <c r="Y32" s="62"/>
      <c r="Z32" s="65"/>
      <c r="AA32" s="65"/>
      <c r="AB32" s="65"/>
    </row>
    <row r="33" spans="1:28">
      <c r="A33" s="8">
        <v>9</v>
      </c>
      <c r="C33" s="39" t="s">
        <v>379</v>
      </c>
      <c r="D33" s="67"/>
      <c r="E33" s="24">
        <v>670133.30000000005</v>
      </c>
      <c r="G33" s="24">
        <v>0</v>
      </c>
      <c r="I33" s="24">
        <f>SUM(E33:H33)</f>
        <v>670133.30000000005</v>
      </c>
      <c r="K33" s="24"/>
      <c r="L33" s="24"/>
      <c r="M33" s="24">
        <v>0</v>
      </c>
      <c r="N33" s="24"/>
      <c r="O33" s="24">
        <v>-146769</v>
      </c>
      <c r="P33" s="24"/>
      <c r="Q33" s="24">
        <f>O33</f>
        <v>-146769</v>
      </c>
      <c r="R33" s="24"/>
      <c r="S33" s="24"/>
      <c r="T33" s="24">
        <f>+I33+Q33</f>
        <v>523364.30000000005</v>
      </c>
      <c r="U33" s="24"/>
      <c r="V33" s="24">
        <v>0</v>
      </c>
      <c r="W33" s="24"/>
      <c r="X33" s="24">
        <v>0</v>
      </c>
      <c r="Y33" s="24"/>
      <c r="Z33" s="24">
        <v>0</v>
      </c>
      <c r="AB33" s="24">
        <f t="shared" ref="AB33" si="6">+T33+V33+X33+Z33</f>
        <v>523364.30000000005</v>
      </c>
    </row>
    <row r="34" spans="1:28">
      <c r="C34" s="52"/>
      <c r="D34" s="67"/>
      <c r="E34" s="24"/>
      <c r="G34" s="65"/>
      <c r="H34" s="62"/>
      <c r="I34" s="65"/>
      <c r="J34" s="62"/>
      <c r="K34" s="65"/>
      <c r="L34" s="62"/>
      <c r="M34" s="65"/>
      <c r="N34" s="65"/>
      <c r="O34" s="24"/>
      <c r="P34" s="62"/>
      <c r="Q34" s="65"/>
      <c r="R34" s="65"/>
      <c r="S34" s="63"/>
      <c r="T34" s="65"/>
      <c r="U34" s="62"/>
      <c r="V34" s="65"/>
      <c r="W34" s="62"/>
      <c r="X34" s="65"/>
      <c r="Y34" s="62"/>
      <c r="Z34" s="65"/>
      <c r="AA34" s="65"/>
      <c r="AB34" s="65"/>
    </row>
    <row r="35" spans="1:28">
      <c r="A35" s="8">
        <v>10</v>
      </c>
      <c r="B35" s="8"/>
      <c r="C35" s="39" t="s">
        <v>380</v>
      </c>
      <c r="D35" s="67" t="s">
        <v>307</v>
      </c>
      <c r="E35" s="27">
        <v>0</v>
      </c>
      <c r="G35" s="27">
        <v>0</v>
      </c>
      <c r="I35" s="27">
        <f>SUM(E35:H35)</f>
        <v>0</v>
      </c>
      <c r="K35" s="24"/>
      <c r="L35" s="24"/>
      <c r="M35" s="27">
        <v>0</v>
      </c>
      <c r="N35" s="24"/>
      <c r="O35" s="27">
        <v>0</v>
      </c>
      <c r="P35" s="24"/>
      <c r="Q35" s="27">
        <f>O35</f>
        <v>0</v>
      </c>
      <c r="R35" s="24"/>
      <c r="S35" s="24"/>
      <c r="T35" s="27">
        <f>+I35+Q35</f>
        <v>0</v>
      </c>
      <c r="U35" s="24"/>
      <c r="V35" s="27">
        <v>0</v>
      </c>
      <c r="W35" s="24"/>
      <c r="X35" s="27">
        <v>0</v>
      </c>
      <c r="Y35" s="24"/>
      <c r="Z35" s="27">
        <v>0</v>
      </c>
      <c r="AB35" s="27">
        <f t="shared" ref="AB35" si="7">+T35+V35+X35+Z35</f>
        <v>0</v>
      </c>
    </row>
    <row r="36" spans="1:28">
      <c r="C36" s="52"/>
      <c r="D36" s="67" t="s">
        <v>307</v>
      </c>
      <c r="E36" s="24"/>
      <c r="G36" s="24"/>
      <c r="I36" s="24"/>
      <c r="K36" s="24"/>
      <c r="M36" s="24"/>
      <c r="N36" s="24"/>
      <c r="O36" s="24"/>
      <c r="Q36" s="24"/>
      <c r="R36" s="24"/>
      <c r="T36" s="24"/>
      <c r="U36" s="24"/>
      <c r="V36" s="24"/>
      <c r="X36" s="24"/>
      <c r="Z36" s="24"/>
      <c r="AB36" s="24"/>
    </row>
    <row r="37" spans="1:28">
      <c r="A37" s="8">
        <v>11</v>
      </c>
      <c r="B37" s="8"/>
      <c r="C37" s="39" t="s">
        <v>381</v>
      </c>
      <c r="D37" s="67" t="s">
        <v>307</v>
      </c>
      <c r="E37" s="27">
        <f>SUM(E27:E35)</f>
        <v>1205303.3</v>
      </c>
      <c r="G37" s="27">
        <f>SUM(G27:G35)</f>
        <v>0</v>
      </c>
      <c r="I37" s="27">
        <f>SUM(I27:I35)</f>
        <v>1205303.3</v>
      </c>
      <c r="K37" s="24"/>
      <c r="M37" s="27">
        <f>SUM(M27:M35)</f>
        <v>0</v>
      </c>
      <c r="N37" s="24"/>
      <c r="O37" s="27">
        <f>SUM(O27:O35)</f>
        <v>290239</v>
      </c>
      <c r="Q37" s="27">
        <f>SUM(Q27:Q35)</f>
        <v>290239</v>
      </c>
      <c r="R37" s="24"/>
      <c r="T37" s="27">
        <f>SUM(T27:T35)</f>
        <v>1495542.3</v>
      </c>
      <c r="U37" s="24"/>
      <c r="V37" s="27">
        <f>SUM(V27:V35)</f>
        <v>0</v>
      </c>
      <c r="X37" s="27">
        <f>SUM(X27:X35)</f>
        <v>0</v>
      </c>
      <c r="Z37" s="27">
        <f>SUM(Z27:Z35)</f>
        <v>0</v>
      </c>
      <c r="AB37" s="27">
        <f>SUM(AB27:AB35)</f>
        <v>1495542.3</v>
      </c>
    </row>
    <row r="38" spans="1:28">
      <c r="C38" s="52"/>
      <c r="D38" s="67" t="s">
        <v>307</v>
      </c>
      <c r="E38" s="24"/>
      <c r="G38" s="24"/>
      <c r="I38" s="24"/>
      <c r="K38" s="24"/>
      <c r="M38" s="24"/>
      <c r="N38" s="24"/>
      <c r="O38" s="24"/>
      <c r="Q38" s="24"/>
      <c r="R38" s="24"/>
      <c r="T38" s="24"/>
      <c r="U38" s="24"/>
      <c r="V38" s="24"/>
      <c r="X38" s="24"/>
      <c r="Z38" s="24"/>
      <c r="AB38" s="24"/>
    </row>
    <row r="39" spans="1:28">
      <c r="A39" s="8">
        <v>12</v>
      </c>
      <c r="B39" s="8"/>
      <c r="C39" s="39" t="s">
        <v>382</v>
      </c>
      <c r="D39" s="67" t="s">
        <v>307</v>
      </c>
      <c r="E39" s="24">
        <f>E23-E37</f>
        <v>1651181.7099999997</v>
      </c>
      <c r="G39" s="24">
        <f>G23-G37</f>
        <v>0</v>
      </c>
      <c r="I39" s="24">
        <f>I23-I37</f>
        <v>1651181.7099999997</v>
      </c>
      <c r="K39" s="24"/>
      <c r="M39" s="24">
        <f>M23-M37</f>
        <v>0</v>
      </c>
      <c r="N39" s="24"/>
      <c r="O39" s="24">
        <f>O23-O37</f>
        <v>858360</v>
      </c>
      <c r="Q39" s="24">
        <f>Q23-Q37</f>
        <v>858360</v>
      </c>
      <c r="R39" s="24"/>
      <c r="T39" s="24">
        <f>T23-T37</f>
        <v>2509541.71</v>
      </c>
      <c r="U39" s="24"/>
      <c r="V39" s="24">
        <f>V23-V37</f>
        <v>0</v>
      </c>
      <c r="X39" s="24">
        <f>X23-X37</f>
        <v>0</v>
      </c>
      <c r="Z39" s="24">
        <f>Z23-Z37</f>
        <v>0</v>
      </c>
      <c r="AB39" s="24">
        <f>AB23-AB37</f>
        <v>2509541.71</v>
      </c>
    </row>
    <row r="40" spans="1:28">
      <c r="C40" s="52"/>
      <c r="D40" s="67" t="s">
        <v>307</v>
      </c>
      <c r="E40" s="24"/>
      <c r="G40" s="24"/>
      <c r="I40" s="24"/>
      <c r="K40" s="24"/>
      <c r="M40" s="24"/>
      <c r="N40" s="24"/>
      <c r="O40" s="24"/>
      <c r="Q40" s="24"/>
      <c r="R40" s="24"/>
      <c r="T40" s="24"/>
      <c r="U40" s="24"/>
      <c r="V40" s="24"/>
      <c r="X40" s="24"/>
      <c r="Z40" s="24"/>
      <c r="AB40" s="24"/>
    </row>
    <row r="41" spans="1:28">
      <c r="A41" s="8">
        <v>13</v>
      </c>
      <c r="B41" s="8"/>
      <c r="C41" s="26" t="s">
        <v>383</v>
      </c>
      <c r="D41" s="67" t="s">
        <v>307</v>
      </c>
      <c r="E41" s="27">
        <v>529405.30700000003</v>
      </c>
      <c r="G41" s="27">
        <f>+G33-G19</f>
        <v>0</v>
      </c>
      <c r="I41" s="27">
        <f>SUM(E41:H41)</f>
        <v>529405.30700000003</v>
      </c>
      <c r="K41" s="24"/>
      <c r="L41" s="24"/>
      <c r="M41" s="27">
        <v>0</v>
      </c>
      <c r="N41" s="24"/>
      <c r="O41" s="27">
        <v>-115947</v>
      </c>
      <c r="P41" s="24"/>
      <c r="Q41" s="27">
        <f>O41</f>
        <v>-115947</v>
      </c>
      <c r="R41" s="24"/>
      <c r="S41" s="24"/>
      <c r="T41" s="27">
        <f>+I41+Q41</f>
        <v>413458.30700000003</v>
      </c>
      <c r="U41" s="24"/>
      <c r="V41" s="27">
        <v>0</v>
      </c>
      <c r="W41" s="24"/>
      <c r="X41" s="27">
        <v>0</v>
      </c>
      <c r="Y41" s="24"/>
      <c r="Z41" s="27">
        <v>0</v>
      </c>
      <c r="AB41" s="27">
        <f t="shared" ref="AB41" si="8">+T41+V41+X41+Z41</f>
        <v>413458.30700000003</v>
      </c>
    </row>
    <row r="42" spans="1:28">
      <c r="C42" s="52"/>
      <c r="D42" s="67" t="s">
        <v>307</v>
      </c>
      <c r="E42" s="15"/>
      <c r="G42" s="15"/>
      <c r="I42" s="15"/>
      <c r="K42" s="15"/>
      <c r="M42" s="15"/>
      <c r="N42" s="15"/>
      <c r="O42" s="15"/>
      <c r="Q42" s="15"/>
      <c r="R42" s="15"/>
      <c r="T42" s="15"/>
      <c r="U42" s="15"/>
      <c r="V42" s="15"/>
      <c r="X42" s="15"/>
      <c r="Z42" s="15"/>
      <c r="AB42" s="15"/>
    </row>
    <row r="43" spans="1:28" ht="18.75" thickBot="1">
      <c r="A43" s="8">
        <v>14</v>
      </c>
      <c r="B43" s="8"/>
      <c r="C43" s="39" t="s">
        <v>384</v>
      </c>
      <c r="D43" s="87" t="s">
        <v>307</v>
      </c>
      <c r="E43" s="42">
        <f>E39+E41</f>
        <v>2180587.017</v>
      </c>
      <c r="G43" s="42">
        <f>G39+G41</f>
        <v>0</v>
      </c>
      <c r="I43" s="42">
        <f>I39+I41</f>
        <v>2180587.017</v>
      </c>
      <c r="K43" s="19"/>
      <c r="M43" s="42">
        <f>M39+M41</f>
        <v>0</v>
      </c>
      <c r="N43" s="19"/>
      <c r="O43" s="42">
        <f>O39+O41</f>
        <v>742413</v>
      </c>
      <c r="Q43" s="42">
        <f>Q39+Q41</f>
        <v>742413</v>
      </c>
      <c r="R43" s="31" t="s">
        <v>385</v>
      </c>
      <c r="T43" s="42">
        <f>T39+T41</f>
        <v>2923000.017</v>
      </c>
      <c r="U43" s="19"/>
      <c r="V43" s="42">
        <f>V39+V41</f>
        <v>0</v>
      </c>
      <c r="X43" s="42">
        <f>X39+X41</f>
        <v>0</v>
      </c>
      <c r="Z43" s="42">
        <f>Z39+Z41</f>
        <v>0</v>
      </c>
      <c r="AB43" s="42">
        <f>AB39+AB41</f>
        <v>2923000.017</v>
      </c>
    </row>
    <row r="44" spans="1:28" ht="13.5" thickTop="1"/>
    <row r="45" spans="1:28">
      <c r="A45" s="71"/>
      <c r="B45" s="72"/>
      <c r="C45" s="72"/>
      <c r="D45" s="74"/>
      <c r="E45" s="24"/>
      <c r="F45" s="74"/>
      <c r="G45" s="24"/>
      <c r="H45" s="74"/>
      <c r="I45" s="24"/>
      <c r="J45" s="76"/>
      <c r="K45" s="24"/>
      <c r="L45" s="74"/>
      <c r="M45" s="24"/>
      <c r="N45" s="74"/>
      <c r="O45" s="74"/>
      <c r="P45" s="24"/>
      <c r="Q45" s="24"/>
      <c r="R45" s="24"/>
      <c r="S45" s="24"/>
      <c r="T45" s="74"/>
      <c r="U45" s="24"/>
      <c r="V45" s="74"/>
      <c r="W45" s="24"/>
      <c r="X45" s="74"/>
      <c r="AB45" s="74"/>
    </row>
  </sheetData>
  <mergeCells count="5">
    <mergeCell ref="A1:AB1"/>
    <mergeCell ref="A2:AB2"/>
    <mergeCell ref="A3:AB3"/>
    <mergeCell ref="A4:AB4"/>
    <mergeCell ref="K9:O9"/>
  </mergeCells>
  <phoneticPr fontId="0" type="noConversion"/>
  <printOptions horizontalCentered="1"/>
  <pageMargins left="1" right="1" top="1" bottom="1" header="0.3" footer="0.3"/>
  <pageSetup scale="49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C13"/>
  <sheetViews>
    <sheetView topLeftCell="D1" zoomScaleNormal="100" workbookViewId="0">
      <selection activeCell="C42" sqref="C42"/>
    </sheetView>
  </sheetViews>
  <sheetFormatPr defaultColWidth="9" defaultRowHeight="12.75"/>
  <cols>
    <col min="1" max="1" width="4.875" style="1" bestFit="1" customWidth="1"/>
    <col min="2" max="3" width="1.75" style="1" customWidth="1"/>
    <col min="4" max="4" width="65.375" style="1" customWidth="1"/>
    <col min="5" max="5" width="2" style="1" customWidth="1"/>
    <col min="6" max="6" width="15.375" style="1" customWidth="1"/>
    <col min="7" max="7" width="2" style="1" customWidth="1"/>
    <col min="8" max="8" width="15.375" style="1" customWidth="1"/>
    <col min="9" max="9" width="1.375" style="1" customWidth="1"/>
    <col min="10" max="10" width="15.375" style="1" customWidth="1"/>
    <col min="11" max="11" width="1.25" style="1" customWidth="1"/>
    <col min="12" max="12" width="9" style="1" customWidth="1"/>
    <col min="13" max="13" width="1.25" style="1" customWidth="1"/>
    <col min="14" max="14" width="13.125" style="1" hidden="1" customWidth="1"/>
    <col min="15" max="15" width="1.125" style="1" hidden="1" customWidth="1"/>
    <col min="16" max="16" width="14.375" style="1" customWidth="1"/>
    <col min="17" max="17" width="1.75" style="1" customWidth="1"/>
    <col min="18" max="18" width="14.75" style="1" customWidth="1"/>
    <col min="19" max="19" width="4.375" style="1" customWidth="1"/>
    <col min="20" max="20" width="1.875" style="1" customWidth="1"/>
    <col min="21" max="21" width="17" style="1" customWidth="1"/>
    <col min="22" max="22" width="1.375" style="1" customWidth="1"/>
    <col min="23" max="23" width="12.125" style="1" hidden="1" customWidth="1"/>
    <col min="24" max="24" width="1.75" style="1" hidden="1" customWidth="1"/>
    <col min="25" max="25" width="14" style="1" bestFit="1" customWidth="1"/>
    <col min="26" max="26" width="1.25" style="1" customWidth="1"/>
    <col min="27" max="27" width="11.875" style="1" hidden="1" customWidth="1"/>
    <col min="28" max="28" width="1.25" style="1" hidden="1" customWidth="1"/>
    <col min="29" max="29" width="15.75" style="1" customWidth="1"/>
    <col min="30" max="30" width="9" style="1"/>
    <col min="31" max="31" width="13.875" style="1" customWidth="1"/>
    <col min="32" max="16384" width="9" style="1"/>
  </cols>
  <sheetData>
    <row r="1" spans="1:29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</row>
    <row r="2" spans="1:29">
      <c r="A2" s="236" t="s">
        <v>386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</row>
    <row r="3" spans="1:29">
      <c r="A3" s="231" t="str">
        <f>+OthOpRev451_454_456!A3</f>
        <v>For Twelve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</row>
    <row r="4" spans="1:29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</row>
    <row r="5" spans="1:29">
      <c r="A5" s="2">
        <v>-1</v>
      </c>
      <c r="D5" s="2">
        <v>-2</v>
      </c>
      <c r="E5" s="2"/>
      <c r="F5" s="2">
        <v>-3</v>
      </c>
      <c r="G5" s="3"/>
      <c r="H5" s="2">
        <v>-4</v>
      </c>
      <c r="I5" s="2"/>
      <c r="J5" s="2">
        <v>-5</v>
      </c>
      <c r="K5" s="2"/>
      <c r="L5" s="2">
        <v>-6</v>
      </c>
      <c r="M5" s="2"/>
      <c r="N5" s="2">
        <v>-7</v>
      </c>
      <c r="O5" s="2"/>
      <c r="P5" s="2">
        <v>-7</v>
      </c>
      <c r="Q5" s="2"/>
      <c r="R5" s="2">
        <v>-8</v>
      </c>
      <c r="S5" s="2"/>
      <c r="T5" s="2"/>
      <c r="U5" s="2">
        <v>-9</v>
      </c>
      <c r="V5" s="2"/>
      <c r="W5" s="2">
        <v>-11</v>
      </c>
      <c r="Y5" s="2">
        <v>-10</v>
      </c>
      <c r="Z5" s="4"/>
      <c r="AA5" s="2">
        <v>-13</v>
      </c>
      <c r="AB5" s="2"/>
      <c r="AC5" s="2">
        <v>-11</v>
      </c>
    </row>
    <row r="6" spans="1:29">
      <c r="F6" s="5"/>
      <c r="G6" s="3"/>
      <c r="H6" s="3"/>
      <c r="I6" s="3"/>
      <c r="K6" s="3"/>
      <c r="L6" s="232" t="s">
        <v>3</v>
      </c>
      <c r="M6" s="232"/>
      <c r="N6" s="232"/>
      <c r="O6" s="232"/>
      <c r="P6" s="232"/>
      <c r="Q6" s="6"/>
      <c r="R6" s="3"/>
      <c r="S6" s="3"/>
      <c r="T6" s="3"/>
      <c r="U6" s="7" t="s">
        <v>4</v>
      </c>
      <c r="V6" s="3"/>
      <c r="W6" s="3"/>
      <c r="X6" s="5"/>
      <c r="Y6" s="5"/>
      <c r="Z6" s="5"/>
      <c r="AB6" s="5"/>
    </row>
    <row r="7" spans="1:29">
      <c r="A7" s="8" t="s">
        <v>5</v>
      </c>
      <c r="B7" s="8"/>
      <c r="C7" s="8"/>
      <c r="F7" s="5">
        <v>2024</v>
      </c>
      <c r="G7" s="3"/>
      <c r="H7" s="5">
        <v>2024</v>
      </c>
      <c r="I7" s="3"/>
      <c r="J7" s="5">
        <v>2024</v>
      </c>
      <c r="K7" s="6"/>
      <c r="L7" s="5">
        <v>2024</v>
      </c>
      <c r="M7" s="6"/>
      <c r="N7" s="6" t="s">
        <v>6</v>
      </c>
      <c r="O7" s="6"/>
      <c r="P7" s="6"/>
      <c r="Q7" s="6"/>
      <c r="R7" s="6"/>
      <c r="S7" s="6" t="s">
        <v>7</v>
      </c>
      <c r="T7" s="6"/>
      <c r="U7" s="9" t="s">
        <v>8</v>
      </c>
      <c r="V7" s="6"/>
      <c r="W7" s="6"/>
      <c r="X7" s="6"/>
      <c r="Y7" s="8"/>
      <c r="Z7" s="5"/>
      <c r="AA7" s="8" t="s">
        <v>9</v>
      </c>
      <c r="AB7" s="8"/>
      <c r="AC7" s="5" t="s">
        <v>4</v>
      </c>
    </row>
    <row r="8" spans="1:29">
      <c r="A8" s="10" t="s">
        <v>10</v>
      </c>
      <c r="B8" s="8"/>
      <c r="C8" s="8"/>
      <c r="D8" s="10" t="s">
        <v>11</v>
      </c>
      <c r="E8" s="8"/>
      <c r="F8" s="11" t="s">
        <v>12</v>
      </c>
      <c r="G8" s="3"/>
      <c r="H8" s="12" t="s">
        <v>13</v>
      </c>
      <c r="I8" s="6"/>
      <c r="J8" s="13" t="s">
        <v>14</v>
      </c>
      <c r="K8" s="6"/>
      <c r="L8" s="13" t="s">
        <v>14</v>
      </c>
      <c r="M8" s="6"/>
      <c r="N8" s="13" t="s">
        <v>15</v>
      </c>
      <c r="O8" s="6"/>
      <c r="P8" s="14" t="s">
        <v>16</v>
      </c>
      <c r="Q8" s="9"/>
      <c r="R8" s="13" t="s">
        <v>17</v>
      </c>
      <c r="S8" s="13" t="s">
        <v>10</v>
      </c>
      <c r="T8" s="6"/>
      <c r="U8" s="14" t="s">
        <v>18</v>
      </c>
      <c r="V8" s="6"/>
      <c r="W8" s="13" t="s">
        <v>19</v>
      </c>
      <c r="X8" s="6"/>
      <c r="Y8" s="10" t="s">
        <v>20</v>
      </c>
      <c r="Z8" s="8"/>
      <c r="AA8" s="10" t="s">
        <v>21</v>
      </c>
      <c r="AB8" s="8"/>
      <c r="AC8" s="10" t="s">
        <v>18</v>
      </c>
    </row>
    <row r="9" spans="1:29">
      <c r="A9" s="71"/>
      <c r="B9" s="72"/>
      <c r="C9" s="72"/>
      <c r="F9" s="74"/>
    </row>
    <row r="10" spans="1:29">
      <c r="A10" s="71">
        <v>1</v>
      </c>
      <c r="B10" s="72"/>
      <c r="C10" s="72"/>
      <c r="D10" s="73" t="s">
        <v>387</v>
      </c>
      <c r="E10" s="73"/>
      <c r="F10" s="187">
        <v>8803453</v>
      </c>
      <c r="G10" s="188"/>
      <c r="H10" s="187"/>
      <c r="I10" s="188"/>
      <c r="J10" s="187">
        <f>SUM(F10:I10)</f>
        <v>8803453</v>
      </c>
      <c r="K10" s="189"/>
      <c r="L10" s="190"/>
      <c r="M10" s="191"/>
      <c r="N10" s="187">
        <v>0</v>
      </c>
      <c r="O10" s="189"/>
      <c r="P10" s="187">
        <v>29708787</v>
      </c>
      <c r="Q10" s="189"/>
      <c r="R10" s="191">
        <f>+N10+P10</f>
        <v>29708787</v>
      </c>
      <c r="S10" s="19"/>
      <c r="U10" s="19">
        <f>+J10+R10</f>
        <v>38512240</v>
      </c>
      <c r="V10" s="19"/>
      <c r="W10" s="19">
        <v>0</v>
      </c>
      <c r="X10" s="19"/>
      <c r="Y10" s="19">
        <v>0</v>
      </c>
      <c r="AA10" s="19">
        <v>0</v>
      </c>
      <c r="AC10" s="19">
        <f>+U10+W10+Y10+AA10</f>
        <v>38512240</v>
      </c>
    </row>
    <row r="11" spans="1:29">
      <c r="A11" s="71"/>
      <c r="B11" s="72"/>
      <c r="C11" s="72"/>
      <c r="D11" s="72"/>
      <c r="E11" s="72"/>
      <c r="F11" s="192"/>
      <c r="G11" s="188"/>
      <c r="H11" s="193"/>
      <c r="I11" s="188"/>
      <c r="J11" s="193"/>
      <c r="K11" s="188"/>
      <c r="L11" s="190"/>
      <c r="M11" s="188"/>
      <c r="N11" s="192"/>
      <c r="O11" s="188"/>
      <c r="P11" s="192"/>
      <c r="Q11" s="188"/>
      <c r="R11" s="193"/>
      <c r="S11" s="24"/>
      <c r="T11" s="24"/>
      <c r="U11" s="27"/>
      <c r="V11" s="24"/>
      <c r="W11" s="27"/>
      <c r="X11" s="24"/>
      <c r="Y11" s="27"/>
      <c r="Z11" s="24"/>
      <c r="AA11" s="27"/>
      <c r="AB11" s="24"/>
      <c r="AC11" s="27"/>
    </row>
    <row r="12" spans="1:29" ht="18.75" thickBot="1">
      <c r="A12" s="71">
        <f>A10+1</f>
        <v>2</v>
      </c>
      <c r="B12" s="72"/>
      <c r="C12" s="72"/>
      <c r="D12" s="73" t="s">
        <v>388</v>
      </c>
      <c r="E12" s="73"/>
      <c r="F12" s="194">
        <f>SUM(F10:F11)</f>
        <v>8803453</v>
      </c>
      <c r="G12" s="188"/>
      <c r="H12" s="194">
        <f>SUM(H10:H11)</f>
        <v>0</v>
      </c>
      <c r="I12" s="188"/>
      <c r="J12" s="194">
        <f>SUM(J10:J11)</f>
        <v>8803453</v>
      </c>
      <c r="K12" s="188"/>
      <c r="L12" s="195"/>
      <c r="M12" s="188"/>
      <c r="N12" s="194">
        <f>SUM(N10:N11)</f>
        <v>0</v>
      </c>
      <c r="O12" s="188"/>
      <c r="P12" s="194">
        <f>SUM(P10:P11)</f>
        <v>29708787</v>
      </c>
      <c r="Q12" s="196"/>
      <c r="R12" s="194">
        <f>SUM(R10:R11)</f>
        <v>29708787</v>
      </c>
      <c r="S12" s="89" t="s">
        <v>389</v>
      </c>
      <c r="U12" s="88">
        <f>SUM(U10:U11)</f>
        <v>38512240</v>
      </c>
      <c r="V12" s="24"/>
      <c r="W12" s="88">
        <f>SUM(W10:W11)</f>
        <v>0</v>
      </c>
      <c r="X12" s="24"/>
      <c r="Y12" s="88">
        <f>SUM(Y10:Y11)</f>
        <v>0</v>
      </c>
      <c r="AA12" s="88">
        <f>SUM(AA10:AA11)</f>
        <v>0</v>
      </c>
      <c r="AC12" s="88">
        <f>SUM(AC10:AC11)</f>
        <v>38512240</v>
      </c>
    </row>
    <row r="13" spans="1:29" ht="13.5" thickTop="1">
      <c r="A13" s="71"/>
      <c r="B13" s="72"/>
      <c r="C13" s="72"/>
      <c r="D13" s="72"/>
      <c r="E13" s="72"/>
      <c r="F13" s="76"/>
      <c r="G13" s="24"/>
      <c r="H13" s="76"/>
      <c r="I13" s="24"/>
      <c r="J13" s="76"/>
      <c r="K13" s="24"/>
      <c r="L13" s="77"/>
      <c r="M13" s="24"/>
      <c r="N13" s="76"/>
      <c r="O13" s="24"/>
      <c r="P13" s="76"/>
      <c r="Q13" s="76"/>
      <c r="R13" s="76"/>
      <c r="S13" s="24"/>
      <c r="U13" s="76"/>
      <c r="V13" s="24"/>
      <c r="W13" s="76"/>
      <c r="X13" s="24"/>
      <c r="Y13" s="76"/>
      <c r="AA13" s="76"/>
      <c r="AC13" s="76"/>
    </row>
  </sheetData>
  <mergeCells count="5">
    <mergeCell ref="A1:AC1"/>
    <mergeCell ref="A2:AC2"/>
    <mergeCell ref="A3:AC3"/>
    <mergeCell ref="A4:Z4"/>
    <mergeCell ref="L6:P6"/>
  </mergeCells>
  <printOptions horizontalCentered="1"/>
  <pageMargins left="1" right="1" top="1" bottom="1" header="0.3" footer="0.3"/>
  <pageSetup scale="52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E448-C56C-4018-B075-1366CAA832D4}">
  <sheetPr>
    <pageSetUpPr fitToPage="1"/>
  </sheetPr>
  <dimension ref="A1:AD43"/>
  <sheetViews>
    <sheetView topLeftCell="C1" zoomScale="90" zoomScaleNormal="90" workbookViewId="0">
      <selection activeCell="C42" sqref="C42"/>
    </sheetView>
  </sheetViews>
  <sheetFormatPr defaultColWidth="9.75" defaultRowHeight="12.75"/>
  <cols>
    <col min="1" max="1" width="7.375" style="1" customWidth="1"/>
    <col min="2" max="2" width="1.75" style="1" customWidth="1"/>
    <col min="3" max="3" width="33.75" style="1" bestFit="1" customWidth="1"/>
    <col min="4" max="4" width="1" style="1" customWidth="1"/>
    <col min="5" max="5" width="20" style="1" customWidth="1"/>
    <col min="6" max="6" width="1.375" style="1" customWidth="1"/>
    <col min="7" max="7" width="15" style="1" bestFit="1" customWidth="1"/>
    <col min="8" max="8" width="1" style="1" customWidth="1"/>
    <col min="9" max="9" width="19" style="1" customWidth="1"/>
    <col min="10" max="10" width="1.375" style="1" customWidth="1"/>
    <col min="11" max="11" width="8.75" style="1" customWidth="1"/>
    <col min="12" max="12" width="1.375" style="1" customWidth="1"/>
    <col min="13" max="13" width="9.75" style="1" hidden="1" customWidth="1"/>
    <col min="14" max="14" width="1.25" style="1" hidden="1" customWidth="1"/>
    <col min="15" max="15" width="18.375" style="1" customWidth="1"/>
    <col min="16" max="16" width="1.375" style="1" customWidth="1"/>
    <col min="17" max="17" width="16.375" style="1" customWidth="1"/>
    <col min="18" max="18" width="6.125" style="1" customWidth="1"/>
    <col min="19" max="19" width="1.375" style="1" customWidth="1"/>
    <col min="20" max="20" width="19.75" style="1" customWidth="1"/>
    <col min="21" max="21" width="1.375" style="1" customWidth="1"/>
    <col min="22" max="22" width="12.125" style="1" hidden="1" customWidth="1"/>
    <col min="23" max="23" width="1.375" style="1" hidden="1" customWidth="1"/>
    <col min="24" max="24" width="17.125" style="1" bestFit="1" customWidth="1"/>
    <col min="25" max="25" width="2.375" style="1" customWidth="1"/>
    <col min="26" max="26" width="11.875" style="1" hidden="1" customWidth="1"/>
    <col min="27" max="27" width="2.125" style="1" hidden="1" customWidth="1"/>
    <col min="28" max="28" width="19.875" style="1" customWidth="1"/>
    <col min="29" max="29" width="1.375" style="1" customWidth="1"/>
    <col min="30" max="16384" width="9.75" style="1"/>
  </cols>
  <sheetData>
    <row r="1" spans="1:29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9">
      <c r="A2" s="235" t="s">
        <v>390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</row>
    <row r="3" spans="1:29">
      <c r="A3" s="235" t="s">
        <v>391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</row>
    <row r="5" spans="1:29">
      <c r="A5" s="2">
        <v>-1</v>
      </c>
      <c r="C5" s="2">
        <v>-2</v>
      </c>
      <c r="D5" s="2"/>
      <c r="E5" s="2">
        <v>-3</v>
      </c>
      <c r="F5" s="3"/>
      <c r="G5" s="2">
        <v>-4</v>
      </c>
      <c r="H5" s="2"/>
      <c r="I5" s="2">
        <v>-5</v>
      </c>
      <c r="J5" s="2"/>
      <c r="K5" s="2">
        <v>-6</v>
      </c>
      <c r="L5" s="2"/>
      <c r="M5" s="2">
        <v>-7</v>
      </c>
      <c r="N5" s="2"/>
      <c r="O5" s="2">
        <v>-7</v>
      </c>
      <c r="P5" s="2"/>
      <c r="Q5" s="2">
        <v>-8</v>
      </c>
      <c r="R5" s="2"/>
      <c r="S5" s="2"/>
      <c r="T5" s="2">
        <v>-9</v>
      </c>
      <c r="U5" s="2"/>
      <c r="V5" s="2">
        <v>-11</v>
      </c>
      <c r="X5" s="2">
        <v>-10</v>
      </c>
      <c r="Y5" s="4"/>
      <c r="Z5" s="2">
        <v>-13</v>
      </c>
      <c r="AA5" s="2"/>
      <c r="AB5" s="2">
        <v>-11</v>
      </c>
      <c r="AC5" s="2"/>
    </row>
    <row r="6" spans="1:29">
      <c r="E6" s="5"/>
      <c r="F6" s="3"/>
      <c r="G6" s="3"/>
      <c r="H6" s="3"/>
      <c r="J6" s="3"/>
      <c r="K6" s="232" t="s">
        <v>3</v>
      </c>
      <c r="L6" s="232"/>
      <c r="M6" s="232"/>
      <c r="N6" s="232"/>
      <c r="O6" s="232"/>
      <c r="P6" s="6"/>
      <c r="Q6" s="3"/>
      <c r="R6" s="3"/>
      <c r="S6" s="3"/>
      <c r="T6" s="7" t="s">
        <v>4</v>
      </c>
      <c r="U6" s="3"/>
      <c r="V6" s="3"/>
      <c r="W6" s="5"/>
      <c r="X6" s="5"/>
      <c r="Y6" s="5"/>
      <c r="AA6" s="5"/>
      <c r="AC6" s="3"/>
    </row>
    <row r="7" spans="1:29">
      <c r="A7" s="8" t="s">
        <v>5</v>
      </c>
      <c r="B7" s="8"/>
      <c r="E7" s="5">
        <v>2024</v>
      </c>
      <c r="F7" s="3"/>
      <c r="G7" s="5">
        <v>2024</v>
      </c>
      <c r="H7" s="3"/>
      <c r="I7" s="5">
        <v>2024</v>
      </c>
      <c r="J7" s="6"/>
      <c r="K7" s="5">
        <v>2024</v>
      </c>
      <c r="L7" s="6"/>
      <c r="M7" s="6" t="s">
        <v>6</v>
      </c>
      <c r="N7" s="6"/>
      <c r="O7" s="6"/>
      <c r="P7" s="6"/>
      <c r="Q7" s="6"/>
      <c r="R7" s="6" t="s">
        <v>7</v>
      </c>
      <c r="S7" s="6"/>
      <c r="T7" s="9" t="s">
        <v>8</v>
      </c>
      <c r="U7" s="6"/>
      <c r="V7" s="6"/>
      <c r="W7" s="6"/>
      <c r="X7" s="8"/>
      <c r="Y7" s="5"/>
      <c r="Z7" s="8" t="s">
        <v>9</v>
      </c>
      <c r="AA7" s="8"/>
      <c r="AB7" s="5" t="s">
        <v>4</v>
      </c>
      <c r="AC7" s="6"/>
    </row>
    <row r="8" spans="1:29">
      <c r="A8" s="10" t="s">
        <v>10</v>
      </c>
      <c r="B8" s="8"/>
      <c r="C8" s="10" t="s">
        <v>392</v>
      </c>
      <c r="E8" s="11" t="s">
        <v>12</v>
      </c>
      <c r="F8" s="3"/>
      <c r="G8" s="12" t="s">
        <v>13</v>
      </c>
      <c r="H8" s="6"/>
      <c r="I8" s="13" t="s">
        <v>14</v>
      </c>
      <c r="J8" s="6"/>
      <c r="K8" s="13" t="s">
        <v>14</v>
      </c>
      <c r="L8" s="6"/>
      <c r="M8" s="13" t="s">
        <v>15</v>
      </c>
      <c r="N8" s="6"/>
      <c r="O8" s="14" t="s">
        <v>16</v>
      </c>
      <c r="P8" s="9"/>
      <c r="Q8" s="13" t="s">
        <v>17</v>
      </c>
      <c r="R8" s="13" t="s">
        <v>10</v>
      </c>
      <c r="S8" s="6"/>
      <c r="T8" s="14" t="s">
        <v>18</v>
      </c>
      <c r="U8" s="6"/>
      <c r="V8" s="13" t="s">
        <v>19</v>
      </c>
      <c r="W8" s="6"/>
      <c r="X8" s="10" t="s">
        <v>20</v>
      </c>
      <c r="Y8" s="8"/>
      <c r="Z8" s="10" t="s">
        <v>21</v>
      </c>
      <c r="AA8" s="8"/>
      <c r="AB8" s="10" t="s">
        <v>18</v>
      </c>
      <c r="AC8" s="6"/>
    </row>
    <row r="9" spans="1:29">
      <c r="A9" s="8"/>
      <c r="B9" s="8"/>
      <c r="E9" s="68"/>
    </row>
    <row r="11" spans="1:29">
      <c r="A11" s="8" t="s">
        <v>249</v>
      </c>
      <c r="B11" s="8"/>
      <c r="C11" s="39" t="s">
        <v>393</v>
      </c>
      <c r="D11" s="47"/>
      <c r="E11" s="133">
        <v>7253523908</v>
      </c>
      <c r="G11" s="19">
        <v>-682456339.87331498</v>
      </c>
      <c r="I11" s="19">
        <f>SUM(E11:H11)</f>
        <v>6571067568.1266851</v>
      </c>
      <c r="K11" s="19"/>
      <c r="L11" s="19"/>
      <c r="M11" s="19">
        <v>0</v>
      </c>
      <c r="N11" s="19"/>
      <c r="O11" s="19">
        <f>7239242232.00669-I11</f>
        <v>668174663.88000488</v>
      </c>
      <c r="P11" s="19"/>
      <c r="Q11" s="19">
        <f>+K11+M11+O11</f>
        <v>668174663.88000488</v>
      </c>
      <c r="R11" s="19"/>
      <c r="S11" s="19"/>
      <c r="T11" s="19">
        <f>+I11+Q11</f>
        <v>7239242232.00669</v>
      </c>
      <c r="U11" s="19"/>
      <c r="V11" s="19">
        <v>0</v>
      </c>
      <c r="W11" s="19"/>
      <c r="X11" s="19">
        <v>0</v>
      </c>
      <c r="Y11" s="19"/>
      <c r="Z11" s="19">
        <v>0</v>
      </c>
      <c r="AA11" s="19"/>
      <c r="AB11" s="19">
        <f>+T11+V11+X11+Z11</f>
        <v>7239242232.00669</v>
      </c>
      <c r="AC11" s="19"/>
    </row>
    <row r="12" spans="1:29">
      <c r="G12" s="24"/>
      <c r="I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B12" s="24"/>
      <c r="AC12" s="24"/>
    </row>
    <row r="13" spans="1:29">
      <c r="A13" s="8" t="s">
        <v>251</v>
      </c>
      <c r="B13" s="8"/>
      <c r="C13" s="39" t="s">
        <v>394</v>
      </c>
      <c r="D13" s="47"/>
      <c r="E13" s="24">
        <v>7261008211</v>
      </c>
      <c r="G13" s="24">
        <v>-683158324.72331488</v>
      </c>
      <c r="I13" s="24">
        <f>SUM(E13:H13)</f>
        <v>6577849886.2766848</v>
      </c>
      <c r="K13" s="24"/>
      <c r="L13" s="24"/>
      <c r="M13" s="24">
        <v>0</v>
      </c>
      <c r="N13" s="24"/>
      <c r="O13" s="24">
        <f>7246825154.37-I13</f>
        <v>668975268.09331512</v>
      </c>
      <c r="P13" s="24"/>
      <c r="Q13" s="24">
        <f>+K13+M13+O13</f>
        <v>668975268.09331512</v>
      </c>
      <c r="R13" s="24"/>
      <c r="S13" s="24"/>
      <c r="T13" s="24">
        <f>+I13+Q13</f>
        <v>7246825154.3699999</v>
      </c>
      <c r="U13" s="24"/>
      <c r="V13" s="24">
        <v>0</v>
      </c>
      <c r="W13" s="24"/>
      <c r="X13" s="24">
        <v>0</v>
      </c>
      <c r="Y13" s="24"/>
      <c r="Z13" s="24">
        <v>0</v>
      </c>
      <c r="AB13" s="24">
        <f t="shared" ref="AB13" si="0">+T13+V13+X13+Z13</f>
        <v>7246825154.3699999</v>
      </c>
      <c r="AC13" s="24"/>
    </row>
    <row r="14" spans="1:29">
      <c r="C14" s="39"/>
      <c r="D14" s="47"/>
      <c r="E14" s="24"/>
      <c r="G14" s="65"/>
      <c r="H14" s="62"/>
      <c r="I14" s="65"/>
      <c r="J14" s="62"/>
      <c r="K14" s="65"/>
      <c r="L14" s="62"/>
      <c r="M14" s="65"/>
      <c r="N14" s="65"/>
      <c r="O14" s="65"/>
      <c r="P14" s="62"/>
      <c r="Q14" s="65"/>
      <c r="R14" s="65"/>
      <c r="S14" s="63"/>
      <c r="T14" s="65"/>
      <c r="U14" s="62"/>
      <c r="V14" s="65"/>
      <c r="W14" s="62"/>
      <c r="X14" s="65"/>
      <c r="Y14" s="62"/>
      <c r="Z14" s="65"/>
      <c r="AA14" s="65"/>
      <c r="AB14" s="65"/>
      <c r="AC14" s="63"/>
    </row>
    <row r="15" spans="1:29">
      <c r="A15" s="8" t="s">
        <v>253</v>
      </c>
      <c r="B15" s="8"/>
      <c r="C15" s="39" t="s">
        <v>395</v>
      </c>
      <c r="D15" s="47"/>
      <c r="E15" s="24">
        <v>7281089230</v>
      </c>
      <c r="G15" s="24">
        <v>-683410526.84331477</v>
      </c>
      <c r="I15" s="24">
        <f>SUM(E15:H15)</f>
        <v>6597678703.1566849</v>
      </c>
      <c r="K15" s="24"/>
      <c r="L15" s="24"/>
      <c r="M15" s="24">
        <v>0</v>
      </c>
      <c r="N15" s="24"/>
      <c r="O15" s="24">
        <f>7266388920.5209-I15</f>
        <v>668710217.3642149</v>
      </c>
      <c r="P15" s="24"/>
      <c r="Q15" s="24">
        <f>+K15+M15+O15</f>
        <v>668710217.3642149</v>
      </c>
      <c r="R15" s="24"/>
      <c r="S15" s="24"/>
      <c r="T15" s="24">
        <f>+I15+Q15</f>
        <v>7266388920.5208998</v>
      </c>
      <c r="U15" s="24"/>
      <c r="V15" s="24">
        <v>0</v>
      </c>
      <c r="W15" s="24"/>
      <c r="X15" s="24">
        <v>0</v>
      </c>
      <c r="Y15" s="24"/>
      <c r="Z15" s="24">
        <v>0</v>
      </c>
      <c r="AB15" s="24">
        <f t="shared" ref="AB15" si="1">+T15+V15+X15+Z15</f>
        <v>7266388920.5208998</v>
      </c>
      <c r="AC15" s="24"/>
    </row>
    <row r="16" spans="1:29">
      <c r="C16" s="39"/>
      <c r="D16" s="47"/>
      <c r="E16" s="24"/>
      <c r="G16" s="24"/>
      <c r="O16" s="24"/>
    </row>
    <row r="17" spans="1:29">
      <c r="A17" s="8" t="s">
        <v>255</v>
      </c>
      <c r="B17" s="8"/>
      <c r="C17" s="39" t="s">
        <v>396</v>
      </c>
      <c r="D17" s="47"/>
      <c r="E17" s="24">
        <v>7314551002</v>
      </c>
      <c r="G17" s="24">
        <v>-683224843.34331489</v>
      </c>
      <c r="I17" s="24">
        <f>SUM(E17:H17)</f>
        <v>6631326158.6566849</v>
      </c>
      <c r="K17" s="24"/>
      <c r="L17" s="24"/>
      <c r="M17" s="24">
        <v>0</v>
      </c>
      <c r="N17" s="24"/>
      <c r="O17" s="24">
        <f>7317929549.04287-I17</f>
        <v>686603390.38618469</v>
      </c>
      <c r="P17" s="24"/>
      <c r="Q17" s="24">
        <f>+K17+M17+O17</f>
        <v>686603390.38618469</v>
      </c>
      <c r="R17" s="24"/>
      <c r="S17" s="24"/>
      <c r="T17" s="24">
        <f>+I17+Q17</f>
        <v>7317929549.0428696</v>
      </c>
      <c r="U17" s="24"/>
      <c r="V17" s="24">
        <v>0</v>
      </c>
      <c r="W17" s="24"/>
      <c r="X17" s="24">
        <v>0</v>
      </c>
      <c r="Y17" s="24"/>
      <c r="Z17" s="24">
        <v>0</v>
      </c>
      <c r="AB17" s="24">
        <f t="shared" ref="AB17" si="2">+T17+V17+X17+Z17</f>
        <v>7317929549.0428696</v>
      </c>
      <c r="AC17" s="24"/>
    </row>
    <row r="18" spans="1:29">
      <c r="C18" s="39"/>
      <c r="D18" s="47"/>
      <c r="E18" s="24"/>
      <c r="G18" s="65"/>
      <c r="H18" s="62"/>
      <c r="I18" s="65"/>
      <c r="J18" s="62"/>
      <c r="K18" s="65"/>
      <c r="L18" s="62"/>
      <c r="M18" s="65"/>
      <c r="N18" s="65"/>
      <c r="O18" s="65"/>
      <c r="P18" s="62"/>
      <c r="Q18" s="65"/>
      <c r="R18" s="65"/>
      <c r="S18" s="63"/>
      <c r="T18" s="65"/>
      <c r="U18" s="62"/>
      <c r="V18" s="65"/>
      <c r="W18" s="62"/>
      <c r="X18" s="65"/>
      <c r="Y18" s="62"/>
      <c r="Z18" s="65"/>
      <c r="AA18" s="65"/>
      <c r="AB18" s="65"/>
      <c r="AC18" s="63"/>
    </row>
    <row r="19" spans="1:29">
      <c r="A19" s="8" t="s">
        <v>258</v>
      </c>
      <c r="B19" s="8"/>
      <c r="C19" s="39" t="s">
        <v>397</v>
      </c>
      <c r="D19" s="47"/>
      <c r="E19" s="24">
        <v>7346754348</v>
      </c>
      <c r="G19" s="24">
        <v>-684054567.97331488</v>
      </c>
      <c r="I19" s="24">
        <f>SUM(E19:H19)</f>
        <v>6662699780.0266848</v>
      </c>
      <c r="K19" s="24"/>
      <c r="L19" s="24"/>
      <c r="M19" s="24">
        <v>0</v>
      </c>
      <c r="N19" s="24"/>
      <c r="O19" s="24">
        <f>7344595244.34664-I19</f>
        <v>681895464.31995487</v>
      </c>
      <c r="P19" s="24"/>
      <c r="Q19" s="24">
        <f>+K19+M19+O19</f>
        <v>681895464.31995487</v>
      </c>
      <c r="R19" s="24"/>
      <c r="S19" s="24"/>
      <c r="T19" s="24">
        <f>+I19+Q19</f>
        <v>7344595244.3466396</v>
      </c>
      <c r="U19" s="24"/>
      <c r="V19" s="24">
        <v>0</v>
      </c>
      <c r="W19" s="24"/>
      <c r="X19" s="24">
        <v>0</v>
      </c>
      <c r="Y19" s="24"/>
      <c r="Z19" s="24">
        <v>0</v>
      </c>
      <c r="AB19" s="24">
        <f t="shared" ref="AB19" si="3">+T19+V19+X19+Z19</f>
        <v>7344595244.3466396</v>
      </c>
      <c r="AC19" s="24"/>
    </row>
    <row r="20" spans="1:29">
      <c r="C20" s="39"/>
      <c r="D20" s="47"/>
      <c r="E20" s="24"/>
      <c r="G20" s="24"/>
      <c r="O20" s="24"/>
    </row>
    <row r="21" spans="1:29">
      <c r="A21" s="8" t="s">
        <v>260</v>
      </c>
      <c r="B21" s="8"/>
      <c r="C21" s="39" t="s">
        <v>398</v>
      </c>
      <c r="D21" s="47"/>
      <c r="E21" s="24">
        <v>7368957017</v>
      </c>
      <c r="G21" s="24">
        <v>-685721479.44331491</v>
      </c>
      <c r="I21" s="24">
        <f>SUM(E21:H21)</f>
        <v>6683235537.5566854</v>
      </c>
      <c r="K21" s="24"/>
      <c r="L21" s="24"/>
      <c r="M21" s="24">
        <v>0</v>
      </c>
      <c r="N21" s="24"/>
      <c r="O21" s="24">
        <f>7371891728.52767-I21</f>
        <v>688656190.97098446</v>
      </c>
      <c r="P21" s="24"/>
      <c r="Q21" s="24">
        <f>+K21+M21+O21</f>
        <v>688656190.97098446</v>
      </c>
      <c r="R21" s="24"/>
      <c r="S21" s="24"/>
      <c r="T21" s="24">
        <f>+I21+Q21</f>
        <v>7371891728.5276699</v>
      </c>
      <c r="U21" s="24"/>
      <c r="V21" s="24">
        <v>0</v>
      </c>
      <c r="W21" s="24"/>
      <c r="X21" s="24">
        <v>0</v>
      </c>
      <c r="Y21" s="24"/>
      <c r="Z21" s="24">
        <v>0</v>
      </c>
      <c r="AB21" s="24">
        <f t="shared" ref="AB21" si="4">+T21+V21+X21+Z21</f>
        <v>7371891728.5276699</v>
      </c>
      <c r="AC21" s="24"/>
    </row>
    <row r="22" spans="1:29">
      <c r="C22" s="39"/>
      <c r="D22" s="47"/>
      <c r="E22" s="24"/>
      <c r="G22" s="65"/>
      <c r="H22" s="62"/>
      <c r="I22" s="65"/>
      <c r="J22" s="62"/>
      <c r="K22" s="65"/>
      <c r="L22" s="62"/>
      <c r="M22" s="65"/>
      <c r="N22" s="65"/>
      <c r="O22" s="65"/>
      <c r="P22" s="62"/>
      <c r="Q22" s="65"/>
      <c r="R22" s="65"/>
      <c r="S22" s="63"/>
      <c r="T22" s="65"/>
      <c r="U22" s="62"/>
      <c r="V22" s="65"/>
      <c r="W22" s="62"/>
      <c r="X22" s="65"/>
      <c r="Y22" s="62"/>
      <c r="Z22" s="65"/>
      <c r="AA22" s="65"/>
      <c r="AB22" s="65"/>
      <c r="AC22" s="63"/>
    </row>
    <row r="23" spans="1:29">
      <c r="A23" s="8" t="s">
        <v>262</v>
      </c>
      <c r="B23" s="8"/>
      <c r="C23" s="39" t="s">
        <v>399</v>
      </c>
      <c r="D23" s="47"/>
      <c r="E23" s="24">
        <v>7439306458</v>
      </c>
      <c r="G23" s="24">
        <v>-686882427.18331492</v>
      </c>
      <c r="I23" s="24">
        <f>SUM(E23:H23)</f>
        <v>6752424030.8166847</v>
      </c>
      <c r="K23" s="24"/>
      <c r="L23" s="24"/>
      <c r="M23" s="24">
        <v>0</v>
      </c>
      <c r="N23" s="24"/>
      <c r="O23" s="24">
        <f>7553792788.12-I23</f>
        <v>801368757.30331516</v>
      </c>
      <c r="P23" s="24"/>
      <c r="Q23" s="24">
        <f>+K23+M23+O23</f>
        <v>801368757.30331516</v>
      </c>
      <c r="R23" s="24"/>
      <c r="S23" s="24"/>
      <c r="T23" s="24">
        <f>+I23+Q23</f>
        <v>7553792788.1199999</v>
      </c>
      <c r="U23" s="24"/>
      <c r="V23" s="24">
        <v>0</v>
      </c>
      <c r="W23" s="24"/>
      <c r="X23" s="24">
        <v>0</v>
      </c>
      <c r="Y23" s="24"/>
      <c r="Z23" s="24">
        <v>0</v>
      </c>
      <c r="AB23" s="24">
        <f t="shared" ref="AB23" si="5">+T23+V23+X23+Z23</f>
        <v>7553792788.1199999</v>
      </c>
      <c r="AC23" s="24"/>
    </row>
    <row r="24" spans="1:29">
      <c r="C24" s="39"/>
      <c r="D24" s="47"/>
      <c r="E24" s="24"/>
      <c r="G24" s="24"/>
      <c r="O24" s="24"/>
    </row>
    <row r="25" spans="1:29">
      <c r="A25" s="8" t="s">
        <v>264</v>
      </c>
      <c r="B25" s="8"/>
      <c r="C25" s="39" t="s">
        <v>400</v>
      </c>
      <c r="D25" s="47"/>
      <c r="E25" s="24">
        <v>7453808548</v>
      </c>
      <c r="G25" s="24">
        <v>-687093667.0833149</v>
      </c>
      <c r="I25" s="24">
        <f>SUM(E25:H25)</f>
        <v>6766714880.9166851</v>
      </c>
      <c r="K25" s="24"/>
      <c r="L25" s="24"/>
      <c r="M25" s="24">
        <v>0</v>
      </c>
      <c r="N25" s="24"/>
      <c r="O25" s="24">
        <f>7582259683.55-I25</f>
        <v>815544802.63331509</v>
      </c>
      <c r="P25" s="24"/>
      <c r="Q25" s="24">
        <f>+K25+M25+O25</f>
        <v>815544802.63331509</v>
      </c>
      <c r="R25" s="24"/>
      <c r="S25" s="24"/>
      <c r="T25" s="24">
        <f>+I25+Q25</f>
        <v>7582259683.5500002</v>
      </c>
      <c r="U25" s="24"/>
      <c r="V25" s="24">
        <v>0</v>
      </c>
      <c r="W25" s="24"/>
      <c r="X25" s="24">
        <v>0</v>
      </c>
      <c r="Y25" s="24"/>
      <c r="Z25" s="24">
        <v>0</v>
      </c>
      <c r="AB25" s="24">
        <f t="shared" ref="AB25" si="6">+T25+V25+X25+Z25</f>
        <v>7582259683.5500002</v>
      </c>
      <c r="AC25" s="24"/>
    </row>
    <row r="26" spans="1:29">
      <c r="C26" s="39"/>
      <c r="D26" s="47"/>
      <c r="E26" s="24"/>
      <c r="G26" s="65"/>
      <c r="H26" s="62"/>
      <c r="I26" s="65"/>
      <c r="J26" s="62"/>
      <c r="K26" s="65"/>
      <c r="L26" s="62"/>
      <c r="M26" s="65"/>
      <c r="N26" s="65"/>
      <c r="O26" s="65"/>
      <c r="P26" s="62"/>
      <c r="Q26" s="65"/>
      <c r="R26" s="65"/>
      <c r="S26" s="63"/>
      <c r="T26" s="65"/>
      <c r="U26" s="62"/>
      <c r="V26" s="65"/>
      <c r="W26" s="62"/>
      <c r="X26" s="65"/>
      <c r="Y26" s="62"/>
      <c r="Z26" s="65"/>
      <c r="AA26" s="65"/>
      <c r="AB26" s="65"/>
      <c r="AC26" s="63"/>
    </row>
    <row r="27" spans="1:29">
      <c r="A27" s="8" t="s">
        <v>266</v>
      </c>
      <c r="B27" s="8"/>
      <c r="C27" s="39" t="s">
        <v>401</v>
      </c>
      <c r="D27" s="47"/>
      <c r="E27" s="24">
        <v>7473268183</v>
      </c>
      <c r="G27" s="24">
        <v>-687397313.38331473</v>
      </c>
      <c r="I27" s="24">
        <f>SUM(E27:H27)</f>
        <v>6785870869.6166849</v>
      </c>
      <c r="K27" s="24"/>
      <c r="L27" s="24"/>
      <c r="M27" s="24">
        <v>0</v>
      </c>
      <c r="N27" s="24"/>
      <c r="O27" s="24">
        <f>7601357096.45-I27</f>
        <v>815486226.8333149</v>
      </c>
      <c r="P27" s="24"/>
      <c r="Q27" s="24">
        <f>+K27+M27+O27</f>
        <v>815486226.8333149</v>
      </c>
      <c r="R27" s="24"/>
      <c r="S27" s="24"/>
      <c r="T27" s="24">
        <f>+I27+Q27</f>
        <v>7601357096.4499998</v>
      </c>
      <c r="U27" s="24"/>
      <c r="V27" s="24">
        <v>0</v>
      </c>
      <c r="W27" s="24"/>
      <c r="X27" s="24">
        <v>0</v>
      </c>
      <c r="Y27" s="24"/>
      <c r="Z27" s="24">
        <v>0</v>
      </c>
      <c r="AB27" s="24">
        <f t="shared" ref="AB27" si="7">+T27+V27+X27+Z27</f>
        <v>7601357096.4499998</v>
      </c>
      <c r="AC27" s="24"/>
    </row>
    <row r="28" spans="1:29">
      <c r="C28" s="39"/>
      <c r="D28" s="47"/>
      <c r="E28" s="24"/>
      <c r="G28" s="24"/>
      <c r="O28" s="24"/>
    </row>
    <row r="29" spans="1:29">
      <c r="A29" s="8" t="s">
        <v>402</v>
      </c>
      <c r="B29" s="8"/>
      <c r="C29" s="39" t="s">
        <v>403</v>
      </c>
      <c r="D29" s="47"/>
      <c r="E29" s="24">
        <v>7633287972</v>
      </c>
      <c r="G29" s="24">
        <v>-688139793.25331485</v>
      </c>
      <c r="I29" s="24">
        <f>SUM(E29:H29)</f>
        <v>6945148178.746685</v>
      </c>
      <c r="K29" s="24"/>
      <c r="L29" s="24"/>
      <c r="M29" s="24">
        <v>0</v>
      </c>
      <c r="N29" s="24"/>
      <c r="O29" s="24">
        <f>7639205414.03-I29</f>
        <v>694057235.2833147</v>
      </c>
      <c r="P29" s="24"/>
      <c r="Q29" s="24">
        <f>+K29+M29+O29</f>
        <v>694057235.2833147</v>
      </c>
      <c r="R29" s="24"/>
      <c r="S29" s="24"/>
      <c r="T29" s="24">
        <f>+I29+Q29</f>
        <v>7639205414.0299997</v>
      </c>
      <c r="U29" s="24"/>
      <c r="V29" s="24">
        <v>0</v>
      </c>
      <c r="W29" s="24"/>
      <c r="X29" s="24">
        <v>0</v>
      </c>
      <c r="Y29" s="24"/>
      <c r="Z29" s="24">
        <v>0</v>
      </c>
      <c r="AB29" s="24">
        <f t="shared" ref="AB29" si="8">+T29+V29+X29+Z29</f>
        <v>7639205414.0299997</v>
      </c>
      <c r="AC29" s="24"/>
    </row>
    <row r="30" spans="1:29">
      <c r="C30" s="39"/>
      <c r="D30" s="47"/>
      <c r="E30" s="24"/>
      <c r="G30" s="65"/>
      <c r="H30" s="62"/>
      <c r="I30" s="65"/>
      <c r="J30" s="62"/>
      <c r="K30" s="65"/>
      <c r="L30" s="62"/>
      <c r="M30" s="65"/>
      <c r="N30" s="65"/>
      <c r="O30" s="65"/>
      <c r="P30" s="62"/>
      <c r="Q30" s="65"/>
      <c r="R30" s="65"/>
      <c r="S30" s="63"/>
      <c r="T30" s="65"/>
      <c r="U30" s="62"/>
      <c r="V30" s="65"/>
      <c r="W30" s="62"/>
      <c r="X30" s="65"/>
      <c r="Y30" s="62"/>
      <c r="Z30" s="65"/>
      <c r="AA30" s="65"/>
      <c r="AB30" s="65"/>
      <c r="AC30" s="63"/>
    </row>
    <row r="31" spans="1:29">
      <c r="A31" s="8" t="s">
        <v>404</v>
      </c>
      <c r="B31" s="8"/>
      <c r="C31" s="39" t="s">
        <v>405</v>
      </c>
      <c r="D31" s="47"/>
      <c r="E31" s="24">
        <v>7638776787</v>
      </c>
      <c r="G31" s="24">
        <v>-682030509.82331491</v>
      </c>
      <c r="I31" s="24">
        <f>SUM(E31:H31)</f>
        <v>6956746277.1766853</v>
      </c>
      <c r="K31" s="24"/>
      <c r="L31" s="24"/>
      <c r="M31" s="24">
        <v>0</v>
      </c>
      <c r="N31" s="24"/>
      <c r="O31" s="24">
        <f>7675531775.4-I31</f>
        <v>718785498.22331429</v>
      </c>
      <c r="P31" s="24"/>
      <c r="Q31" s="24">
        <f>+K31+M31+O31</f>
        <v>718785498.22331429</v>
      </c>
      <c r="R31" s="24"/>
      <c r="S31" s="24"/>
      <c r="T31" s="24">
        <f>+I31+Q31</f>
        <v>7675531775.3999996</v>
      </c>
      <c r="U31" s="24"/>
      <c r="V31" s="24">
        <v>0</v>
      </c>
      <c r="W31" s="24"/>
      <c r="X31" s="24">
        <v>0</v>
      </c>
      <c r="Y31" s="24"/>
      <c r="Z31" s="24">
        <v>0</v>
      </c>
      <c r="AB31" s="24">
        <f t="shared" ref="AB31" si="9">+T31+V31+X31+Z31</f>
        <v>7675531775.3999996</v>
      </c>
      <c r="AC31" s="24"/>
    </row>
    <row r="32" spans="1:29">
      <c r="C32" s="39"/>
      <c r="D32" s="47"/>
      <c r="E32" s="24"/>
      <c r="G32" s="24"/>
      <c r="O32" s="24"/>
    </row>
    <row r="33" spans="1:30">
      <c r="A33" s="8" t="s">
        <v>406</v>
      </c>
      <c r="B33" s="8"/>
      <c r="C33" s="39" t="s">
        <v>407</v>
      </c>
      <c r="D33" s="47"/>
      <c r="E33" s="24">
        <v>7794698322</v>
      </c>
      <c r="G33" s="24">
        <v>-682774795.97331488</v>
      </c>
      <c r="I33" s="24">
        <f>SUM(E33:H33)</f>
        <v>7111923526.0266848</v>
      </c>
      <c r="K33" s="24"/>
      <c r="L33" s="24"/>
      <c r="M33" s="24">
        <v>0</v>
      </c>
      <c r="N33" s="24"/>
      <c r="O33" s="24">
        <f>7713139495.38-I33</f>
        <v>601215969.35331535</v>
      </c>
      <c r="P33" s="24"/>
      <c r="Q33" s="24">
        <f>+K33+M33+O33</f>
        <v>601215969.35331535</v>
      </c>
      <c r="R33" s="24"/>
      <c r="S33" s="24"/>
      <c r="T33" s="24">
        <f>+I33+Q33</f>
        <v>7713139495.3800001</v>
      </c>
      <c r="U33" s="24"/>
      <c r="V33" s="24">
        <v>0</v>
      </c>
      <c r="W33" s="24"/>
      <c r="X33" s="24">
        <v>0</v>
      </c>
      <c r="Y33" s="24"/>
      <c r="Z33" s="24">
        <v>0</v>
      </c>
      <c r="AB33" s="24">
        <f t="shared" ref="AB33" si="10">+T33+V33+X33+Z33</f>
        <v>7713139495.3800001</v>
      </c>
      <c r="AC33" s="24"/>
    </row>
    <row r="34" spans="1:30">
      <c r="C34" s="39"/>
      <c r="D34" s="47"/>
      <c r="E34" s="24"/>
      <c r="G34" s="65"/>
      <c r="H34" s="62"/>
      <c r="I34" s="65"/>
      <c r="J34" s="62"/>
      <c r="K34" s="65"/>
      <c r="L34" s="62"/>
      <c r="M34" s="65"/>
      <c r="N34" s="65"/>
      <c r="O34" s="65"/>
      <c r="P34" s="62"/>
      <c r="Q34" s="65"/>
      <c r="R34" s="65"/>
      <c r="S34" s="63"/>
      <c r="T34" s="65"/>
      <c r="U34" s="62"/>
      <c r="V34" s="65"/>
      <c r="W34" s="62"/>
      <c r="X34" s="65"/>
      <c r="Y34" s="62"/>
      <c r="Z34" s="65"/>
      <c r="AA34" s="65"/>
      <c r="AB34" s="65"/>
      <c r="AC34" s="63"/>
    </row>
    <row r="35" spans="1:30">
      <c r="A35" s="8" t="s">
        <v>408</v>
      </c>
      <c r="B35" s="8"/>
      <c r="C35" s="39" t="s">
        <v>409</v>
      </c>
      <c r="D35" s="47"/>
      <c r="E35" s="24">
        <v>7921572421</v>
      </c>
      <c r="G35" s="24">
        <v>-682330188.99331486</v>
      </c>
      <c r="I35" s="24">
        <f>SUM(E35:H35)</f>
        <v>7239242232.0066853</v>
      </c>
      <c r="K35" s="24"/>
      <c r="L35" s="24"/>
      <c r="M35" s="24">
        <v>0</v>
      </c>
      <c r="N35" s="24"/>
      <c r="O35" s="24">
        <f>7826718377.52-I35</f>
        <v>587476145.5133152</v>
      </c>
      <c r="P35" s="24"/>
      <c r="Q35" s="24">
        <f>+K35+M35+O35</f>
        <v>587476145.5133152</v>
      </c>
      <c r="R35" s="24"/>
      <c r="S35" s="24"/>
      <c r="T35" s="24">
        <f>+I35+Q35</f>
        <v>7826718377.5200005</v>
      </c>
      <c r="U35" s="24"/>
      <c r="V35" s="24">
        <v>0</v>
      </c>
      <c r="W35" s="24"/>
      <c r="X35" s="24">
        <v>0</v>
      </c>
      <c r="Y35" s="24"/>
      <c r="Z35" s="24">
        <v>0</v>
      </c>
      <c r="AB35" s="24">
        <f t="shared" ref="AB35" si="11">+T35+V35+X35+Z35</f>
        <v>7826718377.5200005</v>
      </c>
      <c r="AC35" s="24"/>
    </row>
    <row r="36" spans="1:30">
      <c r="A36" s="8"/>
      <c r="B36" s="8"/>
      <c r="D36" s="47"/>
      <c r="E36" s="90"/>
      <c r="G36" s="90"/>
    </row>
    <row r="37" spans="1:30">
      <c r="D37" s="47"/>
      <c r="E37" s="90"/>
      <c r="G37" s="90"/>
    </row>
    <row r="38" spans="1:30" ht="18.75" thickBot="1">
      <c r="A38" s="8" t="s">
        <v>410</v>
      </c>
      <c r="B38" s="8"/>
      <c r="C38" s="39" t="s">
        <v>411</v>
      </c>
      <c r="D38" s="47"/>
      <c r="E38" s="42">
        <f>SUM(E11:E35)/13</f>
        <v>7475430954.3846149</v>
      </c>
      <c r="G38" s="42">
        <f>SUM(G11:G35)/13</f>
        <v>-684513444.45331502</v>
      </c>
      <c r="I38" s="42">
        <f>SUM(I11:I35)/13</f>
        <v>6790917509.9313002</v>
      </c>
      <c r="K38" s="19"/>
      <c r="M38" s="42">
        <f>SUM(M11:M37)/13</f>
        <v>0</v>
      </c>
      <c r="N38" s="19"/>
      <c r="O38" s="42">
        <f>SUM(O11:O35)/13</f>
        <v>699765371.55060494</v>
      </c>
      <c r="Q38" s="42">
        <f>SUM(Q11:Q35)/13</f>
        <v>699765371.55060494</v>
      </c>
      <c r="R38" s="31" t="s">
        <v>412</v>
      </c>
      <c r="T38" s="42">
        <f>SUM(T11:T35)/13</f>
        <v>7490682881.4819069</v>
      </c>
      <c r="U38" s="19"/>
      <c r="V38" s="42">
        <f>SUM(V11:V37)/13</f>
        <v>0</v>
      </c>
      <c r="X38" s="42">
        <f>SUM(X11:X35)/13</f>
        <v>0</v>
      </c>
      <c r="Z38" s="42">
        <f>SUM(Z11:Z37)/13</f>
        <v>0</v>
      </c>
      <c r="AB38" s="42">
        <f>SUM(AB11:AB35)/13</f>
        <v>7490682881.4819069</v>
      </c>
    </row>
    <row r="39" spans="1:30" ht="13.5" thickTop="1">
      <c r="A39" s="8"/>
      <c r="B39" s="8"/>
      <c r="C39" s="47"/>
      <c r="D39" s="47"/>
      <c r="E39" s="35"/>
    </row>
    <row r="40" spans="1:30">
      <c r="A40" s="8"/>
      <c r="B40" s="8"/>
      <c r="C40" s="47"/>
      <c r="D40" s="47"/>
      <c r="E40" s="35"/>
      <c r="AD40" s="117"/>
    </row>
    <row r="41" spans="1:30">
      <c r="AB41" s="78"/>
      <c r="AD41" s="117"/>
    </row>
    <row r="43" spans="1:30">
      <c r="AB43" s="78"/>
    </row>
  </sheetData>
  <mergeCells count="4">
    <mergeCell ref="A1:AB1"/>
    <mergeCell ref="A2:AB2"/>
    <mergeCell ref="A3:AB3"/>
    <mergeCell ref="K6:O6"/>
  </mergeCells>
  <printOptions horizontalCentered="1"/>
  <pageMargins left="1" right="1" top="1" bottom="1" header="0.3" footer="0.3"/>
  <pageSetup scale="45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018C-89C1-42B8-A74A-A0F32F9D7793}">
  <sheetPr>
    <pageSetUpPr fitToPage="1"/>
  </sheetPr>
  <dimension ref="A1:AD41"/>
  <sheetViews>
    <sheetView topLeftCell="C1" zoomScale="90" zoomScaleNormal="90" workbookViewId="0">
      <selection activeCell="C42" sqref="C42"/>
    </sheetView>
  </sheetViews>
  <sheetFormatPr defaultColWidth="9" defaultRowHeight="12.75"/>
  <cols>
    <col min="1" max="1" width="9.75" style="1" customWidth="1"/>
    <col min="2" max="2" width="3.375" style="1" customWidth="1"/>
    <col min="3" max="3" width="47.375" style="1" customWidth="1"/>
    <col min="4" max="4" width="1" style="1" customWidth="1"/>
    <col min="5" max="5" width="18.75" style="1" customWidth="1"/>
    <col min="6" max="6" width="1.25" style="1" customWidth="1"/>
    <col min="7" max="7" width="14.25" style="1" bestFit="1" customWidth="1"/>
    <col min="8" max="8" width="1.25" style="1" customWidth="1"/>
    <col min="9" max="9" width="18.75" style="1" customWidth="1"/>
    <col min="10" max="10" width="1.125" style="1" customWidth="1"/>
    <col min="11" max="11" width="11.75" style="1" customWidth="1"/>
    <col min="12" max="12" width="1.125" style="1" customWidth="1"/>
    <col min="13" max="13" width="9.75" style="1" hidden="1" customWidth="1"/>
    <col min="14" max="14" width="1.25" style="1" hidden="1" customWidth="1"/>
    <col min="15" max="15" width="17.375" style="1" bestFit="1" customWidth="1"/>
    <col min="16" max="16" width="1.375" style="1" customWidth="1"/>
    <col min="17" max="17" width="16" style="1" bestFit="1" customWidth="1"/>
    <col min="18" max="18" width="5.75" style="1" customWidth="1"/>
    <col min="19" max="19" width="2.125" style="1" customWidth="1"/>
    <col min="20" max="20" width="18.75" style="1" customWidth="1"/>
    <col min="21" max="21" width="1.75" style="1" hidden="1" customWidth="1"/>
    <col min="22" max="22" width="12.125" style="1" hidden="1" customWidth="1"/>
    <col min="23" max="23" width="1.125" style="1" customWidth="1"/>
    <col min="24" max="24" width="12.125" style="1" bestFit="1" customWidth="1"/>
    <col min="25" max="25" width="1.125" style="1" customWidth="1"/>
    <col min="26" max="26" width="11.125" style="1" hidden="1" customWidth="1"/>
    <col min="27" max="27" width="2.125" style="1" hidden="1" customWidth="1"/>
    <col min="28" max="28" width="18.75" style="1" customWidth="1"/>
    <col min="29" max="29" width="2.125" style="1" customWidth="1"/>
    <col min="30" max="16384" width="9" style="1"/>
  </cols>
  <sheetData>
    <row r="1" spans="1:29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9">
      <c r="A2" s="235" t="s">
        <v>413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</row>
    <row r="3" spans="1:29">
      <c r="A3" s="231" t="str">
        <f>+[19]EPIS!A3</f>
        <v>For The Thirteen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5" spans="1:29">
      <c r="A5" s="2">
        <v>-1</v>
      </c>
      <c r="C5" s="2">
        <v>-2</v>
      </c>
      <c r="D5" s="2"/>
      <c r="E5" s="2">
        <v>-3</v>
      </c>
      <c r="F5" s="3"/>
      <c r="G5" s="2">
        <v>-4</v>
      </c>
      <c r="H5" s="2"/>
      <c r="I5" s="2">
        <v>-5</v>
      </c>
      <c r="J5" s="2"/>
      <c r="K5" s="2">
        <v>-6</v>
      </c>
      <c r="L5" s="2"/>
      <c r="M5" s="2">
        <v>-7</v>
      </c>
      <c r="N5" s="2"/>
      <c r="O5" s="2">
        <v>-7</v>
      </c>
      <c r="P5" s="2"/>
      <c r="Q5" s="2">
        <v>-8</v>
      </c>
      <c r="R5" s="2"/>
      <c r="S5" s="2"/>
      <c r="T5" s="2">
        <v>-9</v>
      </c>
      <c r="U5" s="2"/>
      <c r="V5" s="2">
        <v>-11</v>
      </c>
      <c r="X5" s="2">
        <v>-10</v>
      </c>
      <c r="Y5" s="4"/>
      <c r="Z5" s="2">
        <v>-13</v>
      </c>
      <c r="AA5" s="2"/>
      <c r="AB5" s="2">
        <v>-11</v>
      </c>
      <c r="AC5" s="2"/>
    </row>
    <row r="6" spans="1:29">
      <c r="E6" s="5"/>
      <c r="F6" s="3"/>
      <c r="G6" s="3"/>
      <c r="H6" s="3"/>
      <c r="J6" s="3"/>
      <c r="K6" s="232" t="s">
        <v>3</v>
      </c>
      <c r="L6" s="232"/>
      <c r="M6" s="232"/>
      <c r="N6" s="232"/>
      <c r="O6" s="232"/>
      <c r="P6" s="6"/>
      <c r="Q6" s="3"/>
      <c r="R6" s="3"/>
      <c r="S6" s="3"/>
      <c r="T6" s="5">
        <v>2025</v>
      </c>
      <c r="U6" s="3"/>
      <c r="V6" s="3"/>
      <c r="W6" s="5"/>
      <c r="X6" s="5"/>
      <c r="Y6" s="5"/>
      <c r="AA6" s="5"/>
      <c r="AC6" s="3"/>
    </row>
    <row r="7" spans="1:29">
      <c r="A7" s="8" t="s">
        <v>5</v>
      </c>
      <c r="B7" s="8"/>
      <c r="E7" s="5">
        <v>2024</v>
      </c>
      <c r="F7" s="3"/>
      <c r="G7" s="5">
        <v>2024</v>
      </c>
      <c r="H7" s="3"/>
      <c r="I7" s="5">
        <v>2024</v>
      </c>
      <c r="J7" s="6"/>
      <c r="K7" s="5">
        <v>2024</v>
      </c>
      <c r="L7" s="6"/>
      <c r="M7" s="6" t="s">
        <v>6</v>
      </c>
      <c r="N7" s="6"/>
      <c r="O7" s="6"/>
      <c r="P7" s="6"/>
      <c r="Q7" s="6"/>
      <c r="R7" s="6" t="s">
        <v>7</v>
      </c>
      <c r="S7" s="6"/>
      <c r="T7" s="9" t="s">
        <v>8</v>
      </c>
      <c r="U7" s="6"/>
      <c r="V7" s="6"/>
      <c r="W7" s="6"/>
      <c r="X7" s="8"/>
      <c r="Y7" s="5"/>
      <c r="Z7" s="8" t="s">
        <v>9</v>
      </c>
      <c r="AA7" s="8"/>
      <c r="AB7" s="5">
        <v>2025</v>
      </c>
      <c r="AC7" s="6"/>
    </row>
    <row r="8" spans="1:29">
      <c r="A8" s="10" t="s">
        <v>10</v>
      </c>
      <c r="B8" s="8"/>
      <c r="C8" s="10" t="s">
        <v>392</v>
      </c>
      <c r="E8" s="11" t="s">
        <v>12</v>
      </c>
      <c r="F8" s="3"/>
      <c r="G8" s="12" t="s">
        <v>13</v>
      </c>
      <c r="H8" s="6"/>
      <c r="I8" s="13" t="s">
        <v>14</v>
      </c>
      <c r="J8" s="6"/>
      <c r="K8" s="13" t="s">
        <v>14</v>
      </c>
      <c r="L8" s="6"/>
      <c r="M8" s="13" t="s">
        <v>15</v>
      </c>
      <c r="N8" s="6"/>
      <c r="O8" s="14" t="s">
        <v>16</v>
      </c>
      <c r="P8" s="9"/>
      <c r="Q8" s="13" t="s">
        <v>17</v>
      </c>
      <c r="R8" s="13" t="s">
        <v>10</v>
      </c>
      <c r="S8" s="6"/>
      <c r="T8" s="14" t="s">
        <v>18</v>
      </c>
      <c r="U8" s="6"/>
      <c r="V8" s="13" t="s">
        <v>19</v>
      </c>
      <c r="W8" s="6"/>
      <c r="X8" s="10" t="s">
        <v>20</v>
      </c>
      <c r="Y8" s="8"/>
      <c r="Z8" s="10" t="s">
        <v>21</v>
      </c>
      <c r="AA8" s="8"/>
      <c r="AB8" s="10" t="s">
        <v>18</v>
      </c>
      <c r="AC8" s="6"/>
    </row>
    <row r="9" spans="1:29">
      <c r="A9" s="8"/>
      <c r="B9" s="8"/>
      <c r="E9" s="68"/>
    </row>
    <row r="11" spans="1:29">
      <c r="A11" s="8" t="s">
        <v>249</v>
      </c>
      <c r="B11" s="21"/>
      <c r="C11" s="39" t="s">
        <v>393</v>
      </c>
      <c r="D11" s="47"/>
      <c r="E11" s="19">
        <v>2661788101.3119998</v>
      </c>
      <c r="G11" s="19">
        <v>-515712987.56</v>
      </c>
      <c r="I11" s="19">
        <f>SUM(E11:H11)</f>
        <v>2146075113.7519999</v>
      </c>
      <c r="K11" s="19"/>
      <c r="L11" s="19"/>
      <c r="M11" s="19">
        <v>0</v>
      </c>
      <c r="N11" s="19"/>
      <c r="O11" s="19">
        <f>2231647658.17-I11</f>
        <v>85572544.418000221</v>
      </c>
      <c r="P11" s="19"/>
      <c r="Q11" s="19">
        <f>+K11+M11+O11</f>
        <v>85572544.418000221</v>
      </c>
      <c r="R11" s="19"/>
      <c r="S11" s="19"/>
      <c r="T11" s="19">
        <f>+I11+Q11</f>
        <v>2231647658.1700001</v>
      </c>
      <c r="U11" s="19"/>
      <c r="V11" s="19">
        <v>0</v>
      </c>
      <c r="W11" s="19"/>
      <c r="X11" s="19">
        <v>0</v>
      </c>
      <c r="Y11" s="19"/>
      <c r="Z11" s="19">
        <v>0</v>
      </c>
      <c r="AA11" s="19"/>
      <c r="AB11" s="19">
        <f>+T11+V11+X11+Z11</f>
        <v>2231647658.1700001</v>
      </c>
      <c r="AC11" s="19"/>
    </row>
    <row r="12" spans="1:29">
      <c r="B12" s="21"/>
      <c r="D12" s="47"/>
      <c r="G12" s="24"/>
      <c r="I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B12" s="24"/>
      <c r="AC12" s="24"/>
    </row>
    <row r="13" spans="1:29">
      <c r="A13" s="8" t="s">
        <v>251</v>
      </c>
      <c r="B13" s="21"/>
      <c r="C13" s="39" t="s">
        <v>394</v>
      </c>
      <c r="D13" s="47"/>
      <c r="E13" s="24">
        <v>2678871691.7719998</v>
      </c>
      <c r="G13" s="24">
        <v>-520360735.52999997</v>
      </c>
      <c r="I13" s="24">
        <f>SUM(E13:H13)</f>
        <v>2158510956.2419996</v>
      </c>
      <c r="K13" s="24"/>
      <c r="L13" s="24"/>
      <c r="M13" s="24">
        <v>0</v>
      </c>
      <c r="N13" s="24"/>
      <c r="O13" s="24">
        <f>2242043342.86748-I13</f>
        <v>83532386.625480175</v>
      </c>
      <c r="P13" s="24"/>
      <c r="Q13" s="24">
        <f>+K13+M13+O13</f>
        <v>83532386.625480175</v>
      </c>
      <c r="R13" s="24"/>
      <c r="S13" s="24"/>
      <c r="T13" s="24">
        <f>+I13+Q13</f>
        <v>2242043342.8674798</v>
      </c>
      <c r="U13" s="24"/>
      <c r="V13" s="24">
        <v>0</v>
      </c>
      <c r="W13" s="24"/>
      <c r="X13" s="24">
        <v>0</v>
      </c>
      <c r="Y13" s="24"/>
      <c r="Z13" s="24">
        <v>0</v>
      </c>
      <c r="AB13" s="24">
        <f t="shared" ref="AB13" si="0">+T13+V13+X13+Z13</f>
        <v>2242043342.8674798</v>
      </c>
      <c r="AC13" s="24"/>
    </row>
    <row r="14" spans="1:29">
      <c r="B14" s="21"/>
      <c r="C14" s="39"/>
      <c r="D14" s="47"/>
      <c r="E14" s="24"/>
      <c r="G14" s="65"/>
      <c r="H14" s="62"/>
      <c r="I14" s="65"/>
      <c r="J14" s="62"/>
      <c r="K14" s="65"/>
      <c r="L14" s="62"/>
      <c r="M14" s="65"/>
      <c r="N14" s="65"/>
      <c r="O14" s="65"/>
      <c r="P14" s="62"/>
      <c r="Q14" s="65"/>
      <c r="R14" s="65"/>
      <c r="S14" s="63"/>
      <c r="T14" s="65"/>
      <c r="U14" s="62"/>
      <c r="V14" s="65"/>
      <c r="W14" s="62"/>
      <c r="X14" s="65"/>
      <c r="Y14" s="62"/>
      <c r="Z14" s="65"/>
      <c r="AA14" s="65"/>
      <c r="AB14" s="65"/>
      <c r="AC14" s="63"/>
    </row>
    <row r="15" spans="1:29">
      <c r="A15" s="8" t="s">
        <v>253</v>
      </c>
      <c r="B15" s="21"/>
      <c r="C15" s="39" t="s">
        <v>395</v>
      </c>
      <c r="D15" s="47"/>
      <c r="E15" s="24">
        <v>2695299091.572</v>
      </c>
      <c r="G15" s="24">
        <v>-525018934.69999999</v>
      </c>
      <c r="I15" s="24">
        <f>SUM(E15:H15)</f>
        <v>2170280156.8720002</v>
      </c>
      <c r="K15" s="24"/>
      <c r="L15" s="24"/>
      <c r="M15" s="24">
        <v>0</v>
      </c>
      <c r="N15" s="24"/>
      <c r="O15" s="24">
        <f>2251223602.48626-I15</f>
        <v>80943445.61425972</v>
      </c>
      <c r="P15" s="24"/>
      <c r="Q15" s="24">
        <f>+K15+M15+O15</f>
        <v>80943445.61425972</v>
      </c>
      <c r="R15" s="24"/>
      <c r="S15" s="24"/>
      <c r="T15" s="24">
        <f>+I15+Q15</f>
        <v>2251223602.4862599</v>
      </c>
      <c r="U15" s="24"/>
      <c r="V15" s="24">
        <v>0</v>
      </c>
      <c r="W15" s="24"/>
      <c r="X15" s="24">
        <v>0</v>
      </c>
      <c r="Y15" s="24"/>
      <c r="Z15" s="24">
        <v>0</v>
      </c>
      <c r="AB15" s="24">
        <f t="shared" ref="AB15" si="1">+T15+V15+X15+Z15</f>
        <v>2251223602.4862599</v>
      </c>
      <c r="AC15" s="24"/>
    </row>
    <row r="16" spans="1:29">
      <c r="B16" s="21"/>
      <c r="C16" s="39"/>
      <c r="D16" s="47"/>
      <c r="E16" s="24"/>
      <c r="G16" s="24"/>
      <c r="O16" s="24"/>
    </row>
    <row r="17" spans="1:29">
      <c r="A17" s="8" t="s">
        <v>255</v>
      </c>
      <c r="B17" s="21"/>
      <c r="C17" s="39" t="s">
        <v>396</v>
      </c>
      <c r="D17" s="47"/>
      <c r="E17" s="24">
        <v>2712324302.2020001</v>
      </c>
      <c r="G17" s="24">
        <v>-529694661.46999991</v>
      </c>
      <c r="I17" s="24">
        <f>SUM(E17:H17)</f>
        <v>2182629640.7320004</v>
      </c>
      <c r="K17" s="24"/>
      <c r="L17" s="24"/>
      <c r="M17" s="24">
        <v>0</v>
      </c>
      <c r="N17" s="24"/>
      <c r="O17" s="24">
        <f>2251177128.21711-I17</f>
        <v>68547487.485109806</v>
      </c>
      <c r="P17" s="24"/>
      <c r="Q17" s="24">
        <f>+K17+M17+O17</f>
        <v>68547487.485109806</v>
      </c>
      <c r="R17" s="24"/>
      <c r="S17" s="24"/>
      <c r="T17" s="24">
        <f>+I17+Q17</f>
        <v>2251177128.2171102</v>
      </c>
      <c r="U17" s="24"/>
      <c r="V17" s="24">
        <v>0</v>
      </c>
      <c r="W17" s="24"/>
      <c r="X17" s="24">
        <v>0</v>
      </c>
      <c r="Y17" s="24"/>
      <c r="Z17" s="24">
        <v>0</v>
      </c>
      <c r="AB17" s="24">
        <f t="shared" ref="AB17" si="2">+T17+V17+X17+Z17</f>
        <v>2251177128.2171102</v>
      </c>
      <c r="AC17" s="24"/>
    </row>
    <row r="18" spans="1:29">
      <c r="B18" s="21"/>
      <c r="C18" s="39"/>
      <c r="D18" s="47"/>
      <c r="E18" s="24"/>
      <c r="G18" s="65"/>
      <c r="H18" s="62"/>
      <c r="I18" s="65"/>
      <c r="J18" s="62"/>
      <c r="K18" s="65"/>
      <c r="L18" s="62"/>
      <c r="M18" s="65"/>
      <c r="N18" s="65"/>
      <c r="O18" s="65"/>
      <c r="P18" s="62"/>
      <c r="Q18" s="65"/>
      <c r="R18" s="65"/>
      <c r="S18" s="63"/>
      <c r="T18" s="65"/>
      <c r="U18" s="62"/>
      <c r="V18" s="65"/>
      <c r="W18" s="62"/>
      <c r="X18" s="65"/>
      <c r="Y18" s="62"/>
      <c r="Z18" s="65"/>
      <c r="AA18" s="65"/>
      <c r="AB18" s="65"/>
      <c r="AC18" s="63"/>
    </row>
    <row r="19" spans="1:29">
      <c r="A19" s="8" t="s">
        <v>258</v>
      </c>
      <c r="B19" s="21"/>
      <c r="C19" s="39" t="s">
        <v>397</v>
      </c>
      <c r="D19" s="47"/>
      <c r="E19" s="24">
        <v>2725759084.4520001</v>
      </c>
      <c r="F19" s="91"/>
      <c r="G19" s="24">
        <v>-534353385.24000001</v>
      </c>
      <c r="I19" s="24">
        <f>SUM(E19:H19)</f>
        <v>2191405699.2119999</v>
      </c>
      <c r="K19" s="24"/>
      <c r="L19" s="24"/>
      <c r="M19" s="24">
        <v>0</v>
      </c>
      <c r="N19" s="24"/>
      <c r="O19" s="24">
        <f>2257181640.27832-I19</f>
        <v>65775941.066319942</v>
      </c>
      <c r="P19" s="24"/>
      <c r="Q19" s="24">
        <f>+K19+M19+O19</f>
        <v>65775941.066319942</v>
      </c>
      <c r="R19" s="24"/>
      <c r="S19" s="24"/>
      <c r="T19" s="24">
        <f>+I19+Q19</f>
        <v>2257181640.2783198</v>
      </c>
      <c r="U19" s="24"/>
      <c r="V19" s="24">
        <v>0</v>
      </c>
      <c r="W19" s="24"/>
      <c r="X19" s="24">
        <v>0</v>
      </c>
      <c r="Y19" s="24"/>
      <c r="Z19" s="24">
        <v>0</v>
      </c>
      <c r="AB19" s="24">
        <f t="shared" ref="AB19" si="3">+T19+V19+X19+Z19</f>
        <v>2257181640.2783198</v>
      </c>
      <c r="AC19" s="24"/>
    </row>
    <row r="20" spans="1:29">
      <c r="B20" s="21"/>
      <c r="C20" s="39"/>
      <c r="D20" s="47"/>
      <c r="E20" s="24"/>
      <c r="G20" s="24"/>
      <c r="O20" s="24"/>
    </row>
    <row r="21" spans="1:29">
      <c r="A21" s="8" t="s">
        <v>260</v>
      </c>
      <c r="B21" s="21"/>
      <c r="C21" s="39" t="s">
        <v>398</v>
      </c>
      <c r="D21" s="47"/>
      <c r="E21" s="24">
        <v>2730896401.6020002</v>
      </c>
      <c r="G21" s="24">
        <v>-539038161.71999991</v>
      </c>
      <c r="I21" s="24">
        <f>SUM(E21:H21)</f>
        <v>2191858239.8820004</v>
      </c>
      <c r="K21" s="24"/>
      <c r="L21" s="24"/>
      <c r="M21" s="24">
        <v>0</v>
      </c>
      <c r="N21" s="24"/>
      <c r="O21" s="24">
        <f>2265373368.89871-I21</f>
        <v>73515129.016709328</v>
      </c>
      <c r="P21" s="24"/>
      <c r="Q21" s="24">
        <f>+K21+M21+O21</f>
        <v>73515129.016709328</v>
      </c>
      <c r="R21" s="24"/>
      <c r="S21" s="24"/>
      <c r="T21" s="24">
        <f>+I21+Q21</f>
        <v>2265373368.8987098</v>
      </c>
      <c r="U21" s="24"/>
      <c r="V21" s="24">
        <v>0</v>
      </c>
      <c r="W21" s="24"/>
      <c r="X21" s="24">
        <v>0</v>
      </c>
      <c r="Y21" s="24"/>
      <c r="Z21" s="24">
        <v>0</v>
      </c>
      <c r="AB21" s="24">
        <f t="shared" ref="AB21" si="4">+T21+V21+X21+Z21</f>
        <v>2265373368.8987098</v>
      </c>
      <c r="AC21" s="24"/>
    </row>
    <row r="22" spans="1:29">
      <c r="B22" s="21"/>
      <c r="C22" s="39"/>
      <c r="D22" s="47"/>
      <c r="E22" s="24"/>
      <c r="G22" s="65"/>
      <c r="H22" s="62"/>
      <c r="I22" s="65"/>
      <c r="J22" s="62"/>
      <c r="K22" s="65"/>
      <c r="L22" s="62"/>
      <c r="M22" s="65"/>
      <c r="N22" s="65"/>
      <c r="O22" s="65"/>
      <c r="P22" s="62"/>
      <c r="Q22" s="65"/>
      <c r="R22" s="65"/>
      <c r="S22" s="63"/>
      <c r="T22" s="65"/>
      <c r="U22" s="62"/>
      <c r="V22" s="65"/>
      <c r="W22" s="62"/>
      <c r="X22" s="65"/>
      <c r="Y22" s="62"/>
      <c r="Z22" s="65"/>
      <c r="AA22" s="65"/>
      <c r="AB22" s="65"/>
      <c r="AC22" s="63"/>
    </row>
    <row r="23" spans="1:29">
      <c r="A23" s="8" t="s">
        <v>262</v>
      </c>
      <c r="B23" s="21"/>
      <c r="C23" s="39" t="s">
        <v>399</v>
      </c>
      <c r="D23" s="47"/>
      <c r="E23" s="24">
        <v>2739590594.822</v>
      </c>
      <c r="G23" s="24">
        <v>-543675558.13999999</v>
      </c>
      <c r="I23" s="24">
        <f>SUM(E23:H23)</f>
        <v>2195915036.6820002</v>
      </c>
      <c r="K23" s="24"/>
      <c r="L23" s="24"/>
      <c r="M23" s="24">
        <v>0</v>
      </c>
      <c r="N23" s="24"/>
      <c r="O23" s="24">
        <f>2261608699.63-I23</f>
        <v>65693662.947999954</v>
      </c>
      <c r="P23" s="24"/>
      <c r="Q23" s="24">
        <f>+K23+M23+O23</f>
        <v>65693662.947999954</v>
      </c>
      <c r="R23" s="24"/>
      <c r="S23" s="24"/>
      <c r="T23" s="24">
        <f>+I23+Q23</f>
        <v>2261608699.6300001</v>
      </c>
      <c r="U23" s="24"/>
      <c r="V23" s="24">
        <v>0</v>
      </c>
      <c r="W23" s="24"/>
      <c r="X23" s="24">
        <v>0</v>
      </c>
      <c r="Y23" s="24"/>
      <c r="Z23" s="24">
        <v>0</v>
      </c>
      <c r="AB23" s="24">
        <f t="shared" ref="AB23" si="5">+T23+V23+X23+Z23</f>
        <v>2261608699.6300001</v>
      </c>
      <c r="AC23" s="24"/>
    </row>
    <row r="24" spans="1:29">
      <c r="B24" s="21"/>
      <c r="C24" s="39"/>
      <c r="D24" s="47"/>
      <c r="E24" s="24"/>
      <c r="G24" s="24"/>
      <c r="O24" s="24"/>
    </row>
    <row r="25" spans="1:29">
      <c r="A25" s="8" t="s">
        <v>264</v>
      </c>
      <c r="B25" s="21"/>
      <c r="C25" s="39" t="s">
        <v>400</v>
      </c>
      <c r="D25" s="47"/>
      <c r="E25" s="24">
        <v>2754782429.0320001</v>
      </c>
      <c r="G25" s="24">
        <v>-548564836.39999998</v>
      </c>
      <c r="I25" s="24">
        <f>SUM(E25:H25)</f>
        <v>2206217592.632</v>
      </c>
      <c r="K25" s="24"/>
      <c r="L25" s="24"/>
      <c r="M25" s="24">
        <v>0</v>
      </c>
      <c r="N25" s="24"/>
      <c r="O25" s="24">
        <f>2268530351.57-I25</f>
        <v>62312758.938000202</v>
      </c>
      <c r="P25" s="24"/>
      <c r="Q25" s="24">
        <f>+K25+M25+O25</f>
        <v>62312758.938000202</v>
      </c>
      <c r="R25" s="24"/>
      <c r="S25" s="24"/>
      <c r="T25" s="24">
        <f>+I25+Q25</f>
        <v>2268530351.5700002</v>
      </c>
      <c r="U25" s="24"/>
      <c r="V25" s="24">
        <v>0</v>
      </c>
      <c r="W25" s="24"/>
      <c r="X25" s="24">
        <v>0</v>
      </c>
      <c r="Y25" s="24"/>
      <c r="Z25" s="24">
        <v>0</v>
      </c>
      <c r="AB25" s="24">
        <f t="shared" ref="AB25" si="6">+T25+V25+X25+Z25</f>
        <v>2268530351.5700002</v>
      </c>
      <c r="AC25" s="24"/>
    </row>
    <row r="26" spans="1:29">
      <c r="B26" s="21"/>
      <c r="C26" s="39"/>
      <c r="D26" s="47"/>
      <c r="E26" s="24"/>
      <c r="G26" s="65"/>
      <c r="H26" s="62"/>
      <c r="I26" s="65"/>
      <c r="J26" s="62"/>
      <c r="K26" s="65"/>
      <c r="L26" s="62"/>
      <c r="M26" s="65"/>
      <c r="N26" s="65"/>
      <c r="O26" s="65"/>
      <c r="P26" s="62"/>
      <c r="Q26" s="65"/>
      <c r="R26" s="65"/>
      <c r="S26" s="63"/>
      <c r="T26" s="65"/>
      <c r="U26" s="62"/>
      <c r="V26" s="65"/>
      <c r="W26" s="62"/>
      <c r="X26" s="65"/>
      <c r="Y26" s="62"/>
      <c r="Z26" s="65"/>
      <c r="AA26" s="65"/>
      <c r="AB26" s="65"/>
      <c r="AC26" s="63"/>
    </row>
    <row r="27" spans="1:29">
      <c r="A27" s="8" t="s">
        <v>266</v>
      </c>
      <c r="B27" s="21"/>
      <c r="C27" s="39" t="s">
        <v>401</v>
      </c>
      <c r="D27" s="47"/>
      <c r="E27" s="24">
        <v>2749715558.3119998</v>
      </c>
      <c r="G27" s="24">
        <v>-553512769.30999994</v>
      </c>
      <c r="I27" s="24">
        <f>SUM(E27:H27)</f>
        <v>2196202789.0019999</v>
      </c>
      <c r="K27" s="24"/>
      <c r="L27" s="24"/>
      <c r="M27" s="24">
        <v>0</v>
      </c>
      <c r="N27" s="24"/>
      <c r="O27" s="24">
        <f>2277069370.36-I27</f>
        <v>80866581.358000278</v>
      </c>
      <c r="P27" s="24"/>
      <c r="Q27" s="24">
        <f>+K27+M27+O27</f>
        <v>80866581.358000278</v>
      </c>
      <c r="R27" s="24"/>
      <c r="S27" s="24"/>
      <c r="T27" s="24">
        <f>+I27+Q27</f>
        <v>2277069370.3600001</v>
      </c>
      <c r="U27" s="24"/>
      <c r="V27" s="24">
        <v>0</v>
      </c>
      <c r="W27" s="24"/>
      <c r="X27" s="24">
        <v>0</v>
      </c>
      <c r="Y27" s="24"/>
      <c r="Z27" s="24">
        <v>0</v>
      </c>
      <c r="AB27" s="24">
        <f t="shared" ref="AB27" si="7">+T27+V27+X27+Z27</f>
        <v>2277069370.3600001</v>
      </c>
      <c r="AC27" s="24"/>
    </row>
    <row r="28" spans="1:29">
      <c r="B28" s="21"/>
      <c r="C28" s="39"/>
      <c r="D28" s="47"/>
      <c r="E28" s="24"/>
      <c r="G28" s="24"/>
      <c r="O28" s="24"/>
    </row>
    <row r="29" spans="1:29">
      <c r="A29" s="8" t="s">
        <v>402</v>
      </c>
      <c r="B29" s="21"/>
      <c r="C29" s="39" t="s">
        <v>403</v>
      </c>
      <c r="D29" s="47"/>
      <c r="E29" s="24">
        <v>2764645556.3120003</v>
      </c>
      <c r="G29" s="24">
        <v>-558373974.26999998</v>
      </c>
      <c r="I29" s="24">
        <f>SUM(E29:H29)</f>
        <v>2206271582.0420003</v>
      </c>
      <c r="K29" s="24"/>
      <c r="L29" s="24"/>
      <c r="M29" s="24">
        <v>0</v>
      </c>
      <c r="N29" s="24"/>
      <c r="O29" s="24">
        <f>2278767496.44-I29</f>
        <v>72495914.397999763</v>
      </c>
      <c r="P29" s="24"/>
      <c r="Q29" s="24">
        <f>+K29+M29+O29</f>
        <v>72495914.397999763</v>
      </c>
      <c r="R29" s="24"/>
      <c r="S29" s="24"/>
      <c r="T29" s="24">
        <f>+I29+Q29</f>
        <v>2278767496.4400001</v>
      </c>
      <c r="U29" s="24"/>
      <c r="V29" s="24">
        <v>0</v>
      </c>
      <c r="W29" s="24"/>
      <c r="X29" s="24">
        <v>0</v>
      </c>
      <c r="Y29" s="24"/>
      <c r="Z29" s="24">
        <v>0</v>
      </c>
      <c r="AB29" s="24">
        <f t="shared" ref="AB29" si="8">+T29+V29+X29+Z29</f>
        <v>2278767496.4400001</v>
      </c>
      <c r="AC29" s="24"/>
    </row>
    <row r="30" spans="1:29">
      <c r="B30" s="21"/>
      <c r="C30" s="39"/>
      <c r="D30" s="47"/>
      <c r="E30" s="24"/>
      <c r="G30" s="65"/>
      <c r="H30" s="62"/>
      <c r="I30" s="65"/>
      <c r="J30" s="62"/>
      <c r="K30" s="65"/>
      <c r="L30" s="62"/>
      <c r="M30" s="65"/>
      <c r="N30" s="65"/>
      <c r="O30" s="65"/>
      <c r="P30" s="62"/>
      <c r="Q30" s="65"/>
      <c r="R30" s="65"/>
      <c r="S30" s="63"/>
      <c r="T30" s="65"/>
      <c r="U30" s="62"/>
      <c r="V30" s="65"/>
      <c r="W30" s="62"/>
      <c r="X30" s="65"/>
      <c r="Y30" s="62"/>
      <c r="Z30" s="65"/>
      <c r="AA30" s="65"/>
      <c r="AB30" s="65"/>
      <c r="AC30" s="63"/>
    </row>
    <row r="31" spans="1:29">
      <c r="A31" s="8" t="s">
        <v>404</v>
      </c>
      <c r="B31" s="21"/>
      <c r="C31" s="39" t="s">
        <v>405</v>
      </c>
      <c r="D31" s="47"/>
      <c r="E31" s="24">
        <v>2780237748.2119999</v>
      </c>
      <c r="G31" s="24">
        <v>-563229863.72000003</v>
      </c>
      <c r="I31" s="24">
        <f>SUM(E31:H31)</f>
        <v>2217007884.4919996</v>
      </c>
      <c r="K31" s="24"/>
      <c r="L31" s="24"/>
      <c r="M31" s="24">
        <v>0</v>
      </c>
      <c r="N31" s="24"/>
      <c r="O31" s="24">
        <f>2285340447.67-I31</f>
        <v>68332563.17800045</v>
      </c>
      <c r="P31" s="24"/>
      <c r="Q31" s="24">
        <f>+K31+M31+O31</f>
        <v>68332563.17800045</v>
      </c>
      <c r="R31" s="24"/>
      <c r="S31" s="24"/>
      <c r="T31" s="24">
        <f>+I31+Q31</f>
        <v>2285340447.6700001</v>
      </c>
      <c r="U31" s="24"/>
      <c r="V31" s="24">
        <v>0</v>
      </c>
      <c r="W31" s="24"/>
      <c r="X31" s="24">
        <v>0</v>
      </c>
      <c r="Y31" s="24"/>
      <c r="Z31" s="24">
        <v>0</v>
      </c>
      <c r="AB31" s="24">
        <f t="shared" ref="AB31" si="9">+T31+V31+X31+Z31</f>
        <v>2285340447.6700001</v>
      </c>
      <c r="AC31" s="24"/>
    </row>
    <row r="32" spans="1:29">
      <c r="B32" s="21"/>
      <c r="C32" s="39"/>
      <c r="D32" s="47"/>
      <c r="E32" s="24"/>
      <c r="G32" s="24"/>
      <c r="O32" s="24"/>
    </row>
    <row r="33" spans="1:30">
      <c r="A33" s="8" t="s">
        <v>406</v>
      </c>
      <c r="B33" s="21"/>
      <c r="C33" s="39" t="s">
        <v>407</v>
      </c>
      <c r="D33" s="47"/>
      <c r="E33" s="24">
        <v>2794263193.612</v>
      </c>
      <c r="G33" s="24">
        <v>-567830475.13</v>
      </c>
      <c r="I33" s="24">
        <f>SUM(E33:H33)</f>
        <v>2226432718.4819999</v>
      </c>
      <c r="K33" s="24"/>
      <c r="L33" s="24"/>
      <c r="M33" s="24">
        <v>0</v>
      </c>
      <c r="N33" s="24"/>
      <c r="O33" s="24">
        <f>2290678259.55-I33</f>
        <v>64245541.068000317</v>
      </c>
      <c r="P33" s="24"/>
      <c r="Q33" s="24">
        <f>+K33+M33+O33</f>
        <v>64245541.068000317</v>
      </c>
      <c r="R33" s="24"/>
      <c r="S33" s="24"/>
      <c r="T33" s="24">
        <f>+I33+Q33</f>
        <v>2290678259.5500002</v>
      </c>
      <c r="U33" s="24"/>
      <c r="V33" s="24">
        <v>0</v>
      </c>
      <c r="W33" s="24"/>
      <c r="X33" s="24">
        <v>0</v>
      </c>
      <c r="Y33" s="24"/>
      <c r="Z33" s="24">
        <v>0</v>
      </c>
      <c r="AB33" s="24">
        <f t="shared" ref="AB33" si="10">+T33+V33+X33+Z33</f>
        <v>2290678259.5500002</v>
      </c>
      <c r="AC33" s="24"/>
    </row>
    <row r="34" spans="1:30">
      <c r="B34" s="21"/>
      <c r="C34" s="39"/>
      <c r="D34" s="47"/>
      <c r="E34" s="24"/>
      <c r="G34" s="65"/>
      <c r="H34" s="62"/>
      <c r="I34" s="65"/>
      <c r="J34" s="62"/>
      <c r="K34" s="65"/>
      <c r="L34" s="62"/>
      <c r="M34" s="65"/>
      <c r="N34" s="65"/>
      <c r="O34" s="65"/>
      <c r="P34" s="62"/>
      <c r="Q34" s="65"/>
      <c r="R34" s="65"/>
      <c r="S34" s="63"/>
      <c r="T34" s="65"/>
      <c r="U34" s="62"/>
      <c r="V34" s="65"/>
      <c r="W34" s="62"/>
      <c r="X34" s="65"/>
      <c r="Y34" s="62"/>
      <c r="Z34" s="65"/>
      <c r="AA34" s="65"/>
      <c r="AB34" s="65"/>
      <c r="AC34" s="63"/>
    </row>
    <row r="35" spans="1:30">
      <c r="A35" s="8" t="s">
        <v>408</v>
      </c>
      <c r="B35" s="21"/>
      <c r="C35" s="39" t="s">
        <v>409</v>
      </c>
      <c r="D35" s="47"/>
      <c r="E35" s="24">
        <v>2803512514.0620003</v>
      </c>
      <c r="G35" s="24">
        <v>-571864855.89999998</v>
      </c>
      <c r="I35" s="24">
        <f>SUM(E35:H35)</f>
        <v>2231647658.1620002</v>
      </c>
      <c r="K35" s="24"/>
      <c r="L35" s="24"/>
      <c r="M35" s="24">
        <v>0</v>
      </c>
      <c r="N35" s="24"/>
      <c r="O35" s="24">
        <f>2281850815.41-I35</f>
        <v>50203157.247999668</v>
      </c>
      <c r="P35" s="24"/>
      <c r="Q35" s="24">
        <f>+K35+M35+O35</f>
        <v>50203157.247999668</v>
      </c>
      <c r="R35" s="24"/>
      <c r="S35" s="24"/>
      <c r="T35" s="24">
        <f>+I35+Q35</f>
        <v>2281850815.4099998</v>
      </c>
      <c r="U35" s="24"/>
      <c r="V35" s="24">
        <v>0</v>
      </c>
      <c r="W35" s="24"/>
      <c r="X35" s="24">
        <v>0</v>
      </c>
      <c r="Y35" s="24"/>
      <c r="Z35" s="24">
        <v>0</v>
      </c>
      <c r="AB35" s="24">
        <f t="shared" ref="AB35" si="11">+T35+V35+X35+Z35</f>
        <v>2281850815.4099998</v>
      </c>
      <c r="AC35" s="24"/>
    </row>
    <row r="36" spans="1:30">
      <c r="A36" s="8"/>
      <c r="B36" s="8"/>
      <c r="D36" s="47"/>
      <c r="E36" s="90"/>
      <c r="G36" s="90"/>
    </row>
    <row r="37" spans="1:30">
      <c r="D37" s="47"/>
      <c r="E37" s="90"/>
      <c r="G37" s="90"/>
    </row>
    <row r="38" spans="1:30" ht="18.75" thickBot="1">
      <c r="A38" s="8" t="s">
        <v>410</v>
      </c>
      <c r="B38" s="8"/>
      <c r="C38" s="39" t="s">
        <v>411</v>
      </c>
      <c r="D38" s="47"/>
      <c r="E38" s="42">
        <f>SUM(E11:E35)/13</f>
        <v>2737822020.5596924</v>
      </c>
      <c r="G38" s="42">
        <f>SUM(G11:G35)/13</f>
        <v>-543940861.46846151</v>
      </c>
      <c r="I38" s="42">
        <f>SUM(I11:I35)/13</f>
        <v>2193881159.0912304</v>
      </c>
      <c r="K38" s="19"/>
      <c r="M38" s="42">
        <f>SUM(M11:M37)/13</f>
        <v>0</v>
      </c>
      <c r="N38" s="19"/>
      <c r="O38" s="42">
        <f>SUM(O11:O35)/13</f>
        <v>70925931.797067672</v>
      </c>
      <c r="Q38" s="42">
        <f>SUM(Q11:Q35)/13</f>
        <v>70925931.797067672</v>
      </c>
      <c r="R38" s="31" t="s">
        <v>414</v>
      </c>
      <c r="T38" s="42">
        <f>SUM(T11:T35)/13</f>
        <v>2264807090.888298</v>
      </c>
      <c r="U38" s="19">
        <f>SUM(U11:U37)/13</f>
        <v>0</v>
      </c>
      <c r="V38" s="42">
        <f>SUM(V11:V37)/13</f>
        <v>0</v>
      </c>
      <c r="X38" s="42">
        <f>SUM(X11:X35)/13</f>
        <v>0</v>
      </c>
      <c r="Z38" s="42">
        <f>SUM(Z11:Z37)/13</f>
        <v>0</v>
      </c>
      <c r="AB38" s="42">
        <f>SUM(AB11:AB35)/13</f>
        <v>2264807090.888298</v>
      </c>
    </row>
    <row r="39" spans="1:30" ht="12.75" customHeight="1" thickTop="1"/>
    <row r="40" spans="1:30" ht="12.75" customHeight="1">
      <c r="AD40" s="117"/>
    </row>
    <row r="41" spans="1:30">
      <c r="AB41" s="78"/>
      <c r="AD41" s="117"/>
    </row>
  </sheetData>
  <mergeCells count="4">
    <mergeCell ref="A1:AB1"/>
    <mergeCell ref="A2:AB2"/>
    <mergeCell ref="A3:AB3"/>
    <mergeCell ref="K6:O6"/>
  </mergeCells>
  <printOptions horizontalCentered="1"/>
  <pageMargins left="1" right="1" top="1" bottom="1" header="0.3" footer="0.3"/>
  <pageSetup scale="41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pageSetUpPr fitToPage="1"/>
  </sheetPr>
  <dimension ref="A1:AD42"/>
  <sheetViews>
    <sheetView zoomScale="90" zoomScaleNormal="90" workbookViewId="0">
      <selection activeCell="C42" sqref="C42"/>
    </sheetView>
  </sheetViews>
  <sheetFormatPr defaultColWidth="9" defaultRowHeight="12.75"/>
  <cols>
    <col min="1" max="1" width="9" style="1"/>
    <col min="2" max="2" width="3.375" style="1" customWidth="1"/>
    <col min="3" max="3" width="40.125" style="1" customWidth="1"/>
    <col min="4" max="4" width="1.375" style="1" customWidth="1"/>
    <col min="5" max="5" width="16.25" style="1" customWidth="1"/>
    <col min="6" max="6" width="1.125" style="1" customWidth="1"/>
    <col min="7" max="7" width="11.875" style="1" bestFit="1" customWidth="1"/>
    <col min="8" max="8" width="1.875" style="1" customWidth="1"/>
    <col min="9" max="9" width="15.125" style="1" customWidth="1"/>
    <col min="10" max="10" width="1.75" style="1" customWidth="1"/>
    <col min="11" max="11" width="11.375" style="1" customWidth="1"/>
    <col min="12" max="12" width="1.875" style="1" customWidth="1"/>
    <col min="13" max="13" width="0" style="1" hidden="1" customWidth="1"/>
    <col min="14" max="14" width="1.25" style="1" hidden="1" customWidth="1"/>
    <col min="15" max="15" width="15.25" style="1" bestFit="1" customWidth="1"/>
    <col min="16" max="16" width="2.375" style="1" customWidth="1"/>
    <col min="17" max="17" width="15.25" style="1" bestFit="1" customWidth="1"/>
    <col min="18" max="18" width="5.875" style="1" customWidth="1"/>
    <col min="19" max="19" width="1.75" style="1" customWidth="1"/>
    <col min="20" max="20" width="16.125" style="1" customWidth="1"/>
    <col min="21" max="21" width="1.75" style="1" customWidth="1"/>
    <col min="22" max="22" width="10.75" style="1" customWidth="1"/>
    <col min="23" max="23" width="1.25" style="1" customWidth="1"/>
    <col min="24" max="24" width="14" style="1" hidden="1" customWidth="1"/>
    <col min="25" max="25" width="1.25" style="1" hidden="1" customWidth="1"/>
    <col min="26" max="26" width="11.125" style="1" hidden="1" customWidth="1"/>
    <col min="27" max="27" width="2.375" style="1" hidden="1" customWidth="1"/>
    <col min="28" max="28" width="15.75" style="1" customWidth="1"/>
    <col min="29" max="29" width="1.75" style="1" customWidth="1"/>
    <col min="30" max="16384" width="9" style="1"/>
  </cols>
  <sheetData>
    <row r="1" spans="1:29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9">
      <c r="A2" s="231" t="s">
        <v>415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9">
      <c r="A3" s="231" t="s">
        <v>416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29">
      <c r="A4" s="231" t="str">
        <f>AccDepr!A3</f>
        <v>For The Thirteen Months Ended December 31, 2025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</row>
    <row r="5" spans="1:29">
      <c r="A5" s="8"/>
      <c r="B5" s="8"/>
      <c r="C5" s="8"/>
      <c r="D5" s="8"/>
      <c r="E5" s="8"/>
      <c r="F5" s="8"/>
      <c r="G5" s="8"/>
      <c r="H5" s="8"/>
    </row>
    <row r="6" spans="1:29">
      <c r="A6" s="2">
        <v>-1</v>
      </c>
      <c r="C6" s="2">
        <v>-2</v>
      </c>
      <c r="D6" s="2"/>
      <c r="E6" s="2">
        <v>-3</v>
      </c>
      <c r="F6" s="3"/>
      <c r="G6" s="2">
        <v>-4</v>
      </c>
      <c r="H6" s="2"/>
      <c r="I6" s="2">
        <v>-5</v>
      </c>
      <c r="J6" s="2"/>
      <c r="K6" s="2">
        <v>-6</v>
      </c>
      <c r="L6" s="2"/>
      <c r="M6" s="2">
        <v>-7</v>
      </c>
      <c r="N6" s="2"/>
      <c r="O6" s="2">
        <v>-7</v>
      </c>
      <c r="P6" s="2"/>
      <c r="Q6" s="2">
        <v>-8</v>
      </c>
      <c r="R6" s="2"/>
      <c r="S6" s="2"/>
      <c r="T6" s="2">
        <v>-9</v>
      </c>
      <c r="U6" s="2"/>
      <c r="V6" s="2">
        <v>-10</v>
      </c>
      <c r="X6" s="2">
        <v>-12</v>
      </c>
      <c r="Y6" s="4"/>
      <c r="Z6" s="2">
        <v>-13</v>
      </c>
      <c r="AA6" s="2"/>
      <c r="AB6" s="2">
        <v>-11</v>
      </c>
      <c r="AC6" s="2"/>
    </row>
    <row r="7" spans="1:29">
      <c r="E7" s="5"/>
      <c r="F7" s="3"/>
      <c r="G7" s="3"/>
      <c r="H7" s="3"/>
      <c r="J7" s="3"/>
      <c r="K7" s="232" t="s">
        <v>3</v>
      </c>
      <c r="L7" s="232"/>
      <c r="M7" s="232"/>
      <c r="N7" s="232"/>
      <c r="O7" s="232"/>
      <c r="P7" s="6"/>
      <c r="Q7" s="3"/>
      <c r="R7" s="3"/>
      <c r="S7" s="3"/>
      <c r="T7" s="7" t="s">
        <v>4</v>
      </c>
      <c r="U7" s="3"/>
      <c r="V7" s="3"/>
      <c r="W7" s="5"/>
      <c r="X7" s="5"/>
      <c r="Y7" s="5"/>
      <c r="AA7" s="5"/>
      <c r="AC7" s="3"/>
    </row>
    <row r="8" spans="1:29">
      <c r="A8" s="8" t="s">
        <v>5</v>
      </c>
      <c r="B8" s="8"/>
      <c r="E8" s="5">
        <v>2024</v>
      </c>
      <c r="F8" s="3"/>
      <c r="G8" s="5">
        <v>2024</v>
      </c>
      <c r="H8" s="3"/>
      <c r="I8" s="5">
        <v>2024</v>
      </c>
      <c r="J8" s="6"/>
      <c r="K8" s="5">
        <v>2024</v>
      </c>
      <c r="L8" s="6"/>
      <c r="M8" s="6" t="s">
        <v>6</v>
      </c>
      <c r="N8" s="6"/>
      <c r="O8" s="6"/>
      <c r="P8" s="6"/>
      <c r="Q8" s="6"/>
      <c r="R8" s="6" t="s">
        <v>7</v>
      </c>
      <c r="S8" s="6"/>
      <c r="T8" s="9" t="s">
        <v>8</v>
      </c>
      <c r="U8" s="6"/>
      <c r="V8" s="6"/>
      <c r="W8" s="6"/>
      <c r="X8" s="8"/>
      <c r="Y8" s="5"/>
      <c r="Z8" s="8" t="s">
        <v>9</v>
      </c>
      <c r="AA8" s="8"/>
      <c r="AB8" s="5" t="s">
        <v>4</v>
      </c>
      <c r="AC8" s="6"/>
    </row>
    <row r="9" spans="1:29">
      <c r="A9" s="10" t="s">
        <v>10</v>
      </c>
      <c r="B9" s="8"/>
      <c r="C9" s="10" t="s">
        <v>392</v>
      </c>
      <c r="E9" s="11" t="s">
        <v>12</v>
      </c>
      <c r="F9" s="3"/>
      <c r="G9" s="12" t="s">
        <v>13</v>
      </c>
      <c r="H9" s="6"/>
      <c r="I9" s="13" t="s">
        <v>14</v>
      </c>
      <c r="J9" s="6"/>
      <c r="K9" s="13" t="s">
        <v>14</v>
      </c>
      <c r="L9" s="6"/>
      <c r="M9" s="13" t="s">
        <v>15</v>
      </c>
      <c r="N9" s="6"/>
      <c r="O9" s="14" t="s">
        <v>16</v>
      </c>
      <c r="P9" s="9"/>
      <c r="Q9" s="13" t="s">
        <v>17</v>
      </c>
      <c r="R9" s="13" t="s">
        <v>10</v>
      </c>
      <c r="S9" s="6"/>
      <c r="T9" s="14" t="s">
        <v>18</v>
      </c>
      <c r="U9" s="6"/>
      <c r="V9" s="13" t="s">
        <v>19</v>
      </c>
      <c r="W9" s="6"/>
      <c r="X9" s="10" t="s">
        <v>20</v>
      </c>
      <c r="Y9" s="8"/>
      <c r="Z9" s="10" t="s">
        <v>21</v>
      </c>
      <c r="AA9" s="8"/>
      <c r="AB9" s="10" t="s">
        <v>18</v>
      </c>
      <c r="AC9" s="6"/>
    </row>
    <row r="12" spans="1:29">
      <c r="A12" s="8">
        <v>1</v>
      </c>
      <c r="B12" s="21"/>
      <c r="C12" s="39" t="s">
        <v>393</v>
      </c>
      <c r="D12" s="47"/>
      <c r="E12" s="19">
        <v>44487567</v>
      </c>
      <c r="G12" s="19">
        <v>0</v>
      </c>
      <c r="I12" s="19">
        <f>SUM(E12:H12)</f>
        <v>44487567</v>
      </c>
      <c r="K12" s="19"/>
      <c r="L12" s="19"/>
      <c r="M12" s="19">
        <v>0</v>
      </c>
      <c r="N12" s="19"/>
      <c r="O12" s="19">
        <f>50659111-I12</f>
        <v>6171544</v>
      </c>
      <c r="P12" s="19"/>
      <c r="Q12" s="19">
        <f>+K12+M12+O12</f>
        <v>6171544</v>
      </c>
      <c r="R12" s="19"/>
      <c r="S12" s="19"/>
      <c r="T12" s="19">
        <f>+I12+Q12</f>
        <v>50659111</v>
      </c>
      <c r="U12" s="19"/>
      <c r="V12" s="19">
        <v>0</v>
      </c>
      <c r="W12" s="19"/>
      <c r="X12" s="19">
        <v>0</v>
      </c>
      <c r="Y12" s="19"/>
      <c r="Z12" s="19">
        <v>0</v>
      </c>
      <c r="AA12" s="19"/>
      <c r="AB12" s="19">
        <f>+T12+V12+X12+Z12</f>
        <v>50659111</v>
      </c>
      <c r="AC12" s="19"/>
    </row>
    <row r="13" spans="1:29">
      <c r="B13" s="21"/>
      <c r="D13" s="47"/>
      <c r="G13" s="24"/>
      <c r="I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B13" s="24"/>
      <c r="AC13" s="24"/>
    </row>
    <row r="14" spans="1:29">
      <c r="A14" s="8">
        <v>2</v>
      </c>
      <c r="B14" s="21"/>
      <c r="C14" s="39" t="s">
        <v>394</v>
      </c>
      <c r="D14" s="47"/>
      <c r="E14" s="24">
        <v>45071256</v>
      </c>
      <c r="G14" s="24">
        <v>0</v>
      </c>
      <c r="I14" s="24">
        <f>SUM(E14:H14)</f>
        <v>45071256</v>
      </c>
      <c r="K14" s="24"/>
      <c r="L14" s="24"/>
      <c r="M14" s="24">
        <v>0</v>
      </c>
      <c r="N14" s="24"/>
      <c r="O14" s="24">
        <f>51471883.01-I14</f>
        <v>6400627.0099999979</v>
      </c>
      <c r="P14" s="24"/>
      <c r="Q14" s="24">
        <f>+K14+M14+O14</f>
        <v>6400627.0099999979</v>
      </c>
      <c r="R14" s="24"/>
      <c r="S14" s="24"/>
      <c r="T14" s="24">
        <f>+I14+Q14</f>
        <v>51471883.009999998</v>
      </c>
      <c r="U14" s="24"/>
      <c r="V14" s="24">
        <v>0</v>
      </c>
      <c r="W14" s="24"/>
      <c r="X14" s="24">
        <v>0</v>
      </c>
      <c r="Y14" s="24"/>
      <c r="Z14" s="24">
        <v>0</v>
      </c>
      <c r="AB14" s="24">
        <f t="shared" ref="AB14" si="0">+T14+V14+X14+Z14</f>
        <v>51471883.009999998</v>
      </c>
      <c r="AC14" s="24"/>
    </row>
    <row r="15" spans="1:29">
      <c r="B15" s="21"/>
      <c r="C15" s="39"/>
      <c r="D15" s="47"/>
      <c r="E15" s="24"/>
      <c r="G15" s="65"/>
      <c r="H15" s="62"/>
      <c r="I15" s="65"/>
      <c r="J15" s="62"/>
      <c r="K15" s="65"/>
      <c r="L15" s="62"/>
      <c r="M15" s="65"/>
      <c r="N15" s="65"/>
      <c r="O15" s="65"/>
      <c r="P15" s="62"/>
      <c r="Q15" s="65"/>
      <c r="R15" s="65"/>
      <c r="S15" s="63"/>
      <c r="T15" s="65"/>
      <c r="U15" s="62"/>
      <c r="V15" s="65"/>
      <c r="W15" s="62"/>
      <c r="X15" s="65"/>
      <c r="Y15" s="62"/>
      <c r="Z15" s="65"/>
      <c r="AA15" s="65"/>
      <c r="AB15" s="65"/>
      <c r="AC15" s="63"/>
    </row>
    <row r="16" spans="1:29">
      <c r="A16" s="8">
        <v>3</v>
      </c>
      <c r="B16" s="21"/>
      <c r="C16" s="39" t="s">
        <v>395</v>
      </c>
      <c r="D16" s="47"/>
      <c r="E16" s="24">
        <v>45667196</v>
      </c>
      <c r="G16" s="24">
        <v>0</v>
      </c>
      <c r="I16" s="24">
        <f>SUM(E16:H16)</f>
        <v>45667196</v>
      </c>
      <c r="K16" s="24"/>
      <c r="L16" s="24"/>
      <c r="M16" s="24">
        <v>0</v>
      </c>
      <c r="N16" s="24"/>
      <c r="O16" s="24">
        <f>51499182.47-I16</f>
        <v>5831986.4699999988</v>
      </c>
      <c r="P16" s="24"/>
      <c r="Q16" s="24">
        <f>+K16+M16+O16</f>
        <v>5831986.4699999988</v>
      </c>
      <c r="R16" s="24"/>
      <c r="S16" s="24"/>
      <c r="T16" s="24">
        <f>+I16+Q16</f>
        <v>51499182.469999999</v>
      </c>
      <c r="U16" s="24"/>
      <c r="V16" s="24">
        <v>0</v>
      </c>
      <c r="W16" s="24"/>
      <c r="X16" s="24">
        <v>0</v>
      </c>
      <c r="Y16" s="24"/>
      <c r="Z16" s="24">
        <v>0</v>
      </c>
      <c r="AB16" s="24">
        <f t="shared" ref="AB16" si="1">+T16+V16+X16+Z16</f>
        <v>51499182.469999999</v>
      </c>
      <c r="AC16" s="24"/>
    </row>
    <row r="17" spans="1:29">
      <c r="B17" s="21"/>
      <c r="C17" s="39"/>
      <c r="D17" s="47"/>
      <c r="E17" s="24"/>
      <c r="G17" s="24"/>
      <c r="O17" s="65"/>
    </row>
    <row r="18" spans="1:29">
      <c r="A18" s="8">
        <v>4</v>
      </c>
      <c r="B18" s="21"/>
      <c r="C18" s="39" t="s">
        <v>396</v>
      </c>
      <c r="D18" s="47"/>
      <c r="E18" s="24">
        <v>46265348</v>
      </c>
      <c r="G18" s="24">
        <v>0</v>
      </c>
      <c r="I18" s="24">
        <f>SUM(E18:H18)</f>
        <v>46265348</v>
      </c>
      <c r="K18" s="24"/>
      <c r="L18" s="24"/>
      <c r="M18" s="24">
        <v>0</v>
      </c>
      <c r="N18" s="24"/>
      <c r="O18" s="24">
        <f>52225916.1-I18</f>
        <v>5960568.1000000015</v>
      </c>
      <c r="P18" s="24"/>
      <c r="Q18" s="24">
        <f>+K18+M18+O18</f>
        <v>5960568.1000000015</v>
      </c>
      <c r="R18" s="24"/>
      <c r="S18" s="24"/>
      <c r="T18" s="24">
        <f>+I18+Q18</f>
        <v>52225916.100000001</v>
      </c>
      <c r="U18" s="24"/>
      <c r="V18" s="24">
        <v>0</v>
      </c>
      <c r="W18" s="24"/>
      <c r="X18" s="24">
        <v>0</v>
      </c>
      <c r="Y18" s="24"/>
      <c r="Z18" s="24">
        <v>0</v>
      </c>
      <c r="AB18" s="24">
        <f t="shared" ref="AB18" si="2">+T18+V18+X18+Z18</f>
        <v>52225916.100000001</v>
      </c>
      <c r="AC18" s="24"/>
    </row>
    <row r="19" spans="1:29">
      <c r="B19" s="21"/>
      <c r="C19" s="39"/>
      <c r="D19" s="47"/>
      <c r="E19" s="24"/>
      <c r="G19" s="65"/>
      <c r="H19" s="62"/>
      <c r="I19" s="65"/>
      <c r="J19" s="62"/>
      <c r="K19" s="65"/>
      <c r="L19" s="62"/>
      <c r="M19" s="65"/>
      <c r="N19" s="65"/>
      <c r="O19" s="24"/>
      <c r="P19" s="62"/>
      <c r="Q19" s="65"/>
      <c r="R19" s="65"/>
      <c r="S19" s="63"/>
      <c r="T19" s="65"/>
      <c r="U19" s="62"/>
      <c r="V19" s="65"/>
      <c r="W19" s="62"/>
      <c r="X19" s="65"/>
      <c r="Y19" s="62"/>
      <c r="Z19" s="65"/>
      <c r="AA19" s="65"/>
      <c r="AB19" s="65"/>
      <c r="AC19" s="63"/>
    </row>
    <row r="20" spans="1:29">
      <c r="A20" s="8">
        <v>5</v>
      </c>
      <c r="B20" s="21"/>
      <c r="C20" s="39" t="s">
        <v>397</v>
      </c>
      <c r="D20" s="47"/>
      <c r="E20" s="24">
        <v>46826190</v>
      </c>
      <c r="G20" s="24">
        <v>0</v>
      </c>
      <c r="I20" s="24">
        <f>SUM(E20:H20)</f>
        <v>46826190</v>
      </c>
      <c r="K20" s="24"/>
      <c r="L20" s="24"/>
      <c r="M20" s="24">
        <v>0</v>
      </c>
      <c r="N20" s="24"/>
      <c r="O20" s="24">
        <f>53022272.66-I20</f>
        <v>6196082.6599999964</v>
      </c>
      <c r="P20" s="24"/>
      <c r="Q20" s="24">
        <f>+K20+M20+O20</f>
        <v>6196082.6599999964</v>
      </c>
      <c r="R20" s="24"/>
      <c r="S20" s="24"/>
      <c r="T20" s="24">
        <f>+I20+Q20</f>
        <v>53022272.659999996</v>
      </c>
      <c r="U20" s="24"/>
      <c r="V20" s="24">
        <v>0</v>
      </c>
      <c r="W20" s="24"/>
      <c r="X20" s="24">
        <v>0</v>
      </c>
      <c r="Y20" s="24"/>
      <c r="Z20" s="24">
        <v>0</v>
      </c>
      <c r="AB20" s="24">
        <f t="shared" ref="AB20" si="3">+T20+V20+X20+Z20</f>
        <v>53022272.659999996</v>
      </c>
      <c r="AC20" s="24"/>
    </row>
    <row r="21" spans="1:29">
      <c r="B21" s="21"/>
      <c r="C21" s="39"/>
      <c r="D21" s="47"/>
      <c r="E21" s="24"/>
      <c r="G21" s="24"/>
      <c r="O21" s="65"/>
    </row>
    <row r="22" spans="1:29">
      <c r="A22" s="8">
        <v>6</v>
      </c>
      <c r="B22" s="21"/>
      <c r="C22" s="39" t="s">
        <v>398</v>
      </c>
      <c r="D22" s="47"/>
      <c r="E22" s="24">
        <v>47427873</v>
      </c>
      <c r="G22" s="24">
        <v>0</v>
      </c>
      <c r="I22" s="24">
        <f>SUM(E22:H22)</f>
        <v>47427873</v>
      </c>
      <c r="K22" s="24"/>
      <c r="L22" s="24"/>
      <c r="M22" s="24">
        <v>0</v>
      </c>
      <c r="N22" s="24"/>
      <c r="O22" s="24">
        <f>53805984.12-I22</f>
        <v>6378111.1199999973</v>
      </c>
      <c r="P22" s="24"/>
      <c r="Q22" s="24">
        <f>+K22+M22+O22</f>
        <v>6378111.1199999973</v>
      </c>
      <c r="R22" s="24"/>
      <c r="S22" s="24"/>
      <c r="T22" s="24">
        <f>+I22+Q22</f>
        <v>53805984.119999997</v>
      </c>
      <c r="U22" s="24"/>
      <c r="V22" s="24">
        <v>0</v>
      </c>
      <c r="W22" s="24"/>
      <c r="X22" s="24">
        <v>0</v>
      </c>
      <c r="Y22" s="24"/>
      <c r="Z22" s="24">
        <v>0</v>
      </c>
      <c r="AB22" s="24">
        <f t="shared" ref="AB22" si="4">+T22+V22+X22+Z22</f>
        <v>53805984.119999997</v>
      </c>
      <c r="AC22" s="24"/>
    </row>
    <row r="23" spans="1:29">
      <c r="B23" s="21"/>
      <c r="C23" s="39"/>
      <c r="D23" s="47"/>
      <c r="E23" s="24"/>
      <c r="G23" s="65"/>
      <c r="H23" s="62"/>
      <c r="I23" s="65"/>
      <c r="J23" s="62"/>
      <c r="K23" s="65"/>
      <c r="L23" s="62"/>
      <c r="M23" s="65"/>
      <c r="N23" s="65"/>
      <c r="O23" s="24"/>
      <c r="P23" s="62"/>
      <c r="Q23" s="65"/>
      <c r="R23" s="65"/>
      <c r="S23" s="63"/>
      <c r="T23" s="65"/>
      <c r="U23" s="62"/>
      <c r="V23" s="65"/>
      <c r="W23" s="62"/>
      <c r="X23" s="65"/>
      <c r="Y23" s="62"/>
      <c r="Z23" s="65"/>
      <c r="AA23" s="65"/>
      <c r="AB23" s="65"/>
      <c r="AC23" s="63"/>
    </row>
    <row r="24" spans="1:29">
      <c r="A24" s="8">
        <v>7</v>
      </c>
      <c r="B24" s="21"/>
      <c r="C24" s="39" t="s">
        <v>399</v>
      </c>
      <c r="D24" s="47"/>
      <c r="E24" s="24">
        <v>47986943</v>
      </c>
      <c r="G24" s="24">
        <v>0</v>
      </c>
      <c r="I24" s="24">
        <f>SUM(E24:H24)</f>
        <v>47986943</v>
      </c>
      <c r="K24" s="24"/>
      <c r="L24" s="24"/>
      <c r="M24" s="24">
        <v>0</v>
      </c>
      <c r="N24" s="24"/>
      <c r="O24" s="24">
        <f>54627341.92-I24</f>
        <v>6640398.9200000018</v>
      </c>
      <c r="P24" s="24"/>
      <c r="Q24" s="24">
        <f>+K24+M24+O24</f>
        <v>6640398.9200000018</v>
      </c>
      <c r="R24" s="24"/>
      <c r="S24" s="24"/>
      <c r="T24" s="24">
        <f>+I24+Q24</f>
        <v>54627341.920000002</v>
      </c>
      <c r="U24" s="24"/>
      <c r="V24" s="24">
        <v>0</v>
      </c>
      <c r="W24" s="24"/>
      <c r="X24" s="24">
        <v>0</v>
      </c>
      <c r="Y24" s="24"/>
      <c r="Z24" s="24">
        <v>0</v>
      </c>
      <c r="AB24" s="24">
        <f t="shared" ref="AB24" si="5">+T24+V24+X24+Z24</f>
        <v>54627341.920000002</v>
      </c>
      <c r="AC24" s="24"/>
    </row>
    <row r="25" spans="1:29">
      <c r="B25" s="21"/>
      <c r="C25" s="39"/>
      <c r="D25" s="47"/>
      <c r="E25" s="24"/>
      <c r="G25" s="24"/>
      <c r="O25" s="24"/>
    </row>
    <row r="26" spans="1:29">
      <c r="A26" s="8">
        <v>8</v>
      </c>
      <c r="B26" s="21"/>
      <c r="C26" s="39" t="s">
        <v>400</v>
      </c>
      <c r="D26" s="47"/>
      <c r="E26" s="24">
        <v>48614297</v>
      </c>
      <c r="G26" s="24">
        <v>0</v>
      </c>
      <c r="I26" s="24">
        <f>SUM(E26:H26)</f>
        <v>48614297</v>
      </c>
      <c r="K26" s="24"/>
      <c r="L26" s="24"/>
      <c r="M26" s="24">
        <v>0</v>
      </c>
      <c r="N26" s="24"/>
      <c r="O26" s="24">
        <f>55368714.88-I26</f>
        <v>6754417.8800000027</v>
      </c>
      <c r="P26" s="24"/>
      <c r="Q26" s="24">
        <f>+K26+M26+O26</f>
        <v>6754417.8800000027</v>
      </c>
      <c r="R26" s="24"/>
      <c r="S26" s="24"/>
      <c r="T26" s="24">
        <f>+I26+Q26</f>
        <v>55368714.880000003</v>
      </c>
      <c r="U26" s="24"/>
      <c r="V26" s="24">
        <v>0</v>
      </c>
      <c r="W26" s="24"/>
      <c r="X26" s="24">
        <v>0</v>
      </c>
      <c r="Y26" s="24"/>
      <c r="Z26" s="24">
        <v>0</v>
      </c>
      <c r="AB26" s="24">
        <f t="shared" ref="AB26" si="6">+T26+V26+X26+Z26</f>
        <v>55368714.880000003</v>
      </c>
      <c r="AC26" s="24"/>
    </row>
    <row r="27" spans="1:29">
      <c r="B27" s="21"/>
      <c r="C27" s="39"/>
      <c r="D27" s="47"/>
      <c r="E27" s="24"/>
      <c r="G27" s="65"/>
      <c r="H27" s="62"/>
      <c r="I27" s="65"/>
      <c r="J27" s="62"/>
      <c r="K27" s="65"/>
      <c r="L27" s="62"/>
      <c r="M27" s="65"/>
      <c r="N27" s="65"/>
      <c r="O27" s="65"/>
      <c r="P27" s="62"/>
      <c r="Q27" s="65"/>
      <c r="R27" s="65"/>
      <c r="S27" s="63"/>
      <c r="T27" s="65"/>
      <c r="U27" s="62"/>
      <c r="V27" s="65"/>
      <c r="W27" s="62"/>
      <c r="X27" s="65"/>
      <c r="Y27" s="62"/>
      <c r="Z27" s="65"/>
      <c r="AA27" s="65"/>
      <c r="AB27" s="65"/>
      <c r="AC27" s="63"/>
    </row>
    <row r="28" spans="1:29">
      <c r="A28" s="8">
        <v>9</v>
      </c>
      <c r="B28" s="21"/>
      <c r="C28" s="39" t="s">
        <v>401</v>
      </c>
      <c r="D28" s="47"/>
      <c r="E28" s="24">
        <v>49252545</v>
      </c>
      <c r="G28" s="24">
        <v>0</v>
      </c>
      <c r="I28" s="24">
        <f>SUM(E28:H28)</f>
        <v>49252545</v>
      </c>
      <c r="K28" s="24"/>
      <c r="L28" s="24"/>
      <c r="M28" s="24">
        <v>0</v>
      </c>
      <c r="N28" s="24"/>
      <c r="O28" s="24">
        <f>56197439.78-I28</f>
        <v>6944894.7800000012</v>
      </c>
      <c r="P28" s="24"/>
      <c r="Q28" s="24">
        <f>+K28+M28+O28</f>
        <v>6944894.7800000012</v>
      </c>
      <c r="R28" s="24"/>
      <c r="S28" s="24"/>
      <c r="T28" s="24">
        <f>+I28+Q28</f>
        <v>56197439.780000001</v>
      </c>
      <c r="U28" s="24"/>
      <c r="V28" s="24">
        <v>0</v>
      </c>
      <c r="W28" s="24"/>
      <c r="X28" s="24">
        <v>0</v>
      </c>
      <c r="Y28" s="24"/>
      <c r="Z28" s="24">
        <v>0</v>
      </c>
      <c r="AB28" s="24">
        <f t="shared" ref="AB28" si="7">+T28+V28+X28+Z28</f>
        <v>56197439.780000001</v>
      </c>
      <c r="AC28" s="24"/>
    </row>
    <row r="29" spans="1:29">
      <c r="B29" s="21"/>
      <c r="C29" s="39"/>
      <c r="D29" s="47"/>
      <c r="E29" s="24"/>
      <c r="G29" s="24"/>
      <c r="O29" s="24"/>
    </row>
    <row r="30" spans="1:29">
      <c r="A30" s="8">
        <v>10</v>
      </c>
      <c r="B30" s="21"/>
      <c r="C30" s="39" t="s">
        <v>403</v>
      </c>
      <c r="D30" s="47"/>
      <c r="E30" s="24">
        <v>49902183</v>
      </c>
      <c r="G30" s="24">
        <v>0</v>
      </c>
      <c r="I30" s="24">
        <f>SUM(E30:H30)</f>
        <v>49902183</v>
      </c>
      <c r="K30" s="24"/>
      <c r="L30" s="24"/>
      <c r="M30" s="24">
        <v>0</v>
      </c>
      <c r="N30" s="24"/>
      <c r="O30" s="24">
        <f>57028018.88-I30</f>
        <v>7125835.8800000027</v>
      </c>
      <c r="P30" s="24"/>
      <c r="Q30" s="24">
        <f>+K30+M30+O30</f>
        <v>7125835.8800000027</v>
      </c>
      <c r="R30" s="24"/>
      <c r="S30" s="24"/>
      <c r="T30" s="24">
        <f>+I30+Q30</f>
        <v>57028018.880000003</v>
      </c>
      <c r="U30" s="24"/>
      <c r="V30" s="24">
        <v>0</v>
      </c>
      <c r="W30" s="24"/>
      <c r="X30" s="24">
        <v>0</v>
      </c>
      <c r="Y30" s="24"/>
      <c r="Z30" s="24">
        <v>0</v>
      </c>
      <c r="AB30" s="24">
        <f t="shared" ref="AB30" si="8">+T30+V30+X30+Z30</f>
        <v>57028018.880000003</v>
      </c>
      <c r="AC30" s="24"/>
    </row>
    <row r="31" spans="1:29">
      <c r="B31" s="21"/>
      <c r="C31" s="39"/>
      <c r="D31" s="47"/>
      <c r="E31" s="24"/>
      <c r="G31" s="65"/>
      <c r="H31" s="62"/>
      <c r="I31" s="65"/>
      <c r="J31" s="62"/>
      <c r="K31" s="65"/>
      <c r="L31" s="62"/>
      <c r="M31" s="65"/>
      <c r="N31" s="65"/>
      <c r="O31" s="65"/>
      <c r="P31" s="62"/>
      <c r="Q31" s="65"/>
      <c r="R31" s="65"/>
      <c r="S31" s="63"/>
      <c r="T31" s="65"/>
      <c r="U31" s="62"/>
      <c r="V31" s="65"/>
      <c r="W31" s="62"/>
      <c r="X31" s="65"/>
      <c r="Y31" s="62"/>
      <c r="Z31" s="65"/>
      <c r="AA31" s="65"/>
      <c r="AB31" s="65"/>
      <c r="AC31" s="63"/>
    </row>
    <row r="32" spans="1:29">
      <c r="A32" s="8">
        <v>11</v>
      </c>
      <c r="B32" s="21"/>
      <c r="C32" s="39" t="s">
        <v>405</v>
      </c>
      <c r="D32" s="47"/>
      <c r="E32" s="24">
        <v>50559376</v>
      </c>
      <c r="G32" s="24">
        <v>0</v>
      </c>
      <c r="I32" s="24">
        <f>SUM(E32:H32)</f>
        <v>50559376</v>
      </c>
      <c r="K32" s="24"/>
      <c r="L32" s="24"/>
      <c r="M32" s="24">
        <v>0</v>
      </c>
      <c r="N32" s="24"/>
      <c r="O32" s="24">
        <f>57709231.76-I32</f>
        <v>7149855.7599999979</v>
      </c>
      <c r="P32" s="24"/>
      <c r="Q32" s="24">
        <f>+K32+M32+O32</f>
        <v>7149855.7599999979</v>
      </c>
      <c r="R32" s="24"/>
      <c r="S32" s="24"/>
      <c r="T32" s="24">
        <f>+I32+Q32</f>
        <v>57709231.759999998</v>
      </c>
      <c r="U32" s="24"/>
      <c r="V32" s="24">
        <v>0</v>
      </c>
      <c r="W32" s="24"/>
      <c r="X32" s="24">
        <v>0</v>
      </c>
      <c r="Y32" s="24"/>
      <c r="Z32" s="24">
        <v>0</v>
      </c>
      <c r="AB32" s="24">
        <f t="shared" ref="AB32" si="9">+T32+V32+X32+Z32</f>
        <v>57709231.759999998</v>
      </c>
      <c r="AC32" s="24"/>
    </row>
    <row r="33" spans="1:30">
      <c r="B33" s="21"/>
      <c r="C33" s="39"/>
      <c r="D33" s="47"/>
      <c r="E33" s="24"/>
      <c r="G33" s="24"/>
      <c r="O33" s="24"/>
    </row>
    <row r="34" spans="1:30">
      <c r="A34" s="8">
        <v>12</v>
      </c>
      <c r="B34" s="21"/>
      <c r="C34" s="39" t="s">
        <v>407</v>
      </c>
      <c r="D34" s="47"/>
      <c r="E34" s="24">
        <v>49898707</v>
      </c>
      <c r="G34" s="24">
        <v>0</v>
      </c>
      <c r="I34" s="24">
        <f>SUM(E34:H34)</f>
        <v>49898707</v>
      </c>
      <c r="K34" s="24"/>
      <c r="L34" s="24"/>
      <c r="M34" s="24">
        <v>0</v>
      </c>
      <c r="N34" s="24"/>
      <c r="O34" s="24">
        <f>58531738.01-I34</f>
        <v>8633031.0099999979</v>
      </c>
      <c r="P34" s="24"/>
      <c r="Q34" s="24">
        <f>+K34+M34+O34</f>
        <v>8633031.0099999979</v>
      </c>
      <c r="R34" s="24"/>
      <c r="S34" s="24"/>
      <c r="T34" s="24">
        <f>+I34+Q34</f>
        <v>58531738.009999998</v>
      </c>
      <c r="U34" s="24"/>
      <c r="V34" s="24">
        <v>0</v>
      </c>
      <c r="W34" s="24"/>
      <c r="X34" s="24">
        <v>0</v>
      </c>
      <c r="Y34" s="24"/>
      <c r="Z34" s="24">
        <v>0</v>
      </c>
      <c r="AB34" s="24">
        <f t="shared" ref="AB34" si="10">+T34+V34+X34+Z34</f>
        <v>58531738.009999998</v>
      </c>
      <c r="AC34" s="24"/>
    </row>
    <row r="35" spans="1:30">
      <c r="B35" s="21"/>
      <c r="C35" s="39"/>
      <c r="D35" s="47"/>
      <c r="E35" s="24"/>
      <c r="G35" s="65"/>
      <c r="H35" s="62"/>
      <c r="I35" s="65"/>
      <c r="J35" s="62"/>
      <c r="K35" s="65"/>
      <c r="L35" s="62"/>
      <c r="M35" s="65"/>
      <c r="N35" s="65"/>
      <c r="O35" s="65"/>
      <c r="P35" s="62"/>
      <c r="Q35" s="65"/>
      <c r="R35" s="65"/>
      <c r="S35" s="63"/>
      <c r="T35" s="65"/>
      <c r="U35" s="62"/>
      <c r="V35" s="65"/>
      <c r="W35" s="62"/>
      <c r="X35" s="65"/>
      <c r="Y35" s="62"/>
      <c r="Z35" s="65"/>
      <c r="AA35" s="65"/>
      <c r="AB35" s="65"/>
      <c r="AC35" s="63"/>
    </row>
    <row r="36" spans="1:30">
      <c r="A36" s="8">
        <v>13</v>
      </c>
      <c r="B36" s="21"/>
      <c r="C36" s="39" t="s">
        <v>409</v>
      </c>
      <c r="D36" s="47"/>
      <c r="E36" s="24">
        <v>50659111</v>
      </c>
      <c r="G36" s="24">
        <v>0</v>
      </c>
      <c r="I36" s="24">
        <f>SUM(E36:H36)</f>
        <v>50659111</v>
      </c>
      <c r="K36" s="24"/>
      <c r="L36" s="24"/>
      <c r="M36" s="24">
        <v>0</v>
      </c>
      <c r="N36" s="24"/>
      <c r="O36" s="24">
        <f>56528317.81-I36</f>
        <v>5869206.8100000024</v>
      </c>
      <c r="P36" s="24"/>
      <c r="Q36" s="24">
        <f>+K36+M36+O36</f>
        <v>5869206.8100000024</v>
      </c>
      <c r="R36" s="24"/>
      <c r="S36" s="24"/>
      <c r="T36" s="24">
        <f>+I36+Q36</f>
        <v>56528317.810000002</v>
      </c>
      <c r="U36" s="24"/>
      <c r="V36" s="24">
        <v>0</v>
      </c>
      <c r="W36" s="24"/>
      <c r="X36" s="24">
        <v>0</v>
      </c>
      <c r="Y36" s="24"/>
      <c r="Z36" s="24">
        <v>0</v>
      </c>
      <c r="AB36" s="24">
        <f t="shared" ref="AB36" si="11">+T36+V36+X36+Z36</f>
        <v>56528317.810000002</v>
      </c>
      <c r="AC36" s="24"/>
    </row>
    <row r="37" spans="1:30">
      <c r="A37" s="8"/>
      <c r="B37" s="8"/>
      <c r="D37" s="47"/>
      <c r="E37" s="90"/>
      <c r="G37" s="90"/>
    </row>
    <row r="38" spans="1:30">
      <c r="D38" s="47"/>
      <c r="E38" s="90"/>
      <c r="G38" s="90"/>
    </row>
    <row r="39" spans="1:30" ht="18.75" thickBot="1">
      <c r="A39" s="8">
        <v>14</v>
      </c>
      <c r="B39" s="8"/>
      <c r="C39" s="39" t="s">
        <v>411</v>
      </c>
      <c r="D39" s="47"/>
      <c r="E39" s="42">
        <f>SUM(E12:E36)/13</f>
        <v>47893737.846153848</v>
      </c>
      <c r="G39" s="42">
        <f>SUM(G12:G36)/13</f>
        <v>0</v>
      </c>
      <c r="I39" s="42">
        <f>SUM(I12:I36)/13</f>
        <v>47893737.846153848</v>
      </c>
      <c r="K39" s="19"/>
      <c r="M39" s="42">
        <f>SUM(M12:M38)/13</f>
        <v>0</v>
      </c>
      <c r="N39" s="19"/>
      <c r="O39" s="42">
        <f>SUM(O12:O36)/13</f>
        <v>6619735.4153846158</v>
      </c>
      <c r="Q39" s="42">
        <f>SUM(Q12:Q36)/13</f>
        <v>6619735.4153846158</v>
      </c>
      <c r="R39" s="31" t="s">
        <v>417</v>
      </c>
      <c r="T39" s="42">
        <f>SUM(T12:T36)/13</f>
        <v>54513473.261538453</v>
      </c>
      <c r="U39" s="19"/>
      <c r="V39" s="42">
        <f>SUM(V12:V36)/13</f>
        <v>0</v>
      </c>
      <c r="X39" s="42">
        <f>SUM(X12:X38)/13</f>
        <v>0</v>
      </c>
      <c r="Z39" s="42">
        <f>SUM(Z12:Z38)/13</f>
        <v>0</v>
      </c>
      <c r="AB39" s="42">
        <f>SUM(AB12:AB36)/13</f>
        <v>54513473.261538453</v>
      </c>
    </row>
    <row r="40" spans="1:30" ht="13.5" thickTop="1">
      <c r="A40" s="8"/>
      <c r="B40" s="8"/>
      <c r="C40" s="47"/>
      <c r="D40" s="47"/>
    </row>
    <row r="41" spans="1:30">
      <c r="AD41" s="117"/>
    </row>
    <row r="42" spans="1:30">
      <c r="AD42" s="117"/>
    </row>
  </sheetData>
  <mergeCells count="5">
    <mergeCell ref="A1:AB1"/>
    <mergeCell ref="A2:AB2"/>
    <mergeCell ref="A3:AB3"/>
    <mergeCell ref="A4:AB4"/>
    <mergeCell ref="K7:O7"/>
  </mergeCells>
  <phoneticPr fontId="0" type="noConversion"/>
  <printOptions horizontalCentered="1"/>
  <pageMargins left="1" right="1" top="1" bottom="1" header="0.3" footer="0.3"/>
  <pageSetup scale="46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pageSetUpPr fitToPage="1"/>
  </sheetPr>
  <dimension ref="A1:AB40"/>
  <sheetViews>
    <sheetView zoomScale="90" zoomScaleNormal="90" workbookViewId="0">
      <selection activeCell="C42" sqref="C42"/>
    </sheetView>
  </sheetViews>
  <sheetFormatPr defaultColWidth="9" defaultRowHeight="12.75"/>
  <cols>
    <col min="1" max="1" width="9.75" style="1" customWidth="1"/>
    <col min="2" max="2" width="2.75" style="1" customWidth="1"/>
    <col min="3" max="3" width="28" style="1" bestFit="1" customWidth="1"/>
    <col min="4" max="4" width="2.75" style="1" customWidth="1"/>
    <col min="5" max="5" width="15.875" style="1" customWidth="1"/>
    <col min="6" max="6" width="1.75" style="1" customWidth="1"/>
    <col min="7" max="7" width="14" style="1" customWidth="1"/>
    <col min="8" max="8" width="1.75" style="1" customWidth="1"/>
    <col min="9" max="9" width="15" style="1" customWidth="1"/>
    <col min="10" max="10" width="1.75" style="1" customWidth="1"/>
    <col min="11" max="11" width="14.875" style="1" customWidth="1"/>
    <col min="12" max="12" width="3" style="1" customWidth="1"/>
    <col min="13" max="13" width="16.25" style="1" hidden="1" customWidth="1"/>
    <col min="14" max="14" width="2.375" style="1" hidden="1" customWidth="1"/>
    <col min="15" max="15" width="14.25" style="1" customWidth="1"/>
    <col min="16" max="16" width="1.75" style="1" customWidth="1"/>
    <col min="17" max="17" width="14.375" style="1" customWidth="1"/>
    <col min="18" max="18" width="3.75" style="1" customWidth="1"/>
    <col min="19" max="19" width="16.75" style="1" customWidth="1"/>
    <col min="20" max="20" width="1.75" style="1" customWidth="1"/>
    <col min="21" max="21" width="12.375" style="1" customWidth="1"/>
    <col min="22" max="22" width="1.75" style="1" customWidth="1"/>
    <col min="23" max="23" width="14" style="1" bestFit="1" customWidth="1"/>
    <col min="24" max="24" width="1.75" style="1" customWidth="1"/>
    <col min="25" max="25" width="10" style="1" bestFit="1" customWidth="1"/>
    <col min="26" max="26" width="2.125" style="1" customWidth="1"/>
    <col min="27" max="27" width="15.375" style="1" customWidth="1"/>
    <col min="28" max="28" width="2.125" style="1" customWidth="1"/>
    <col min="29" max="16384" width="9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</row>
    <row r="2" spans="1:28">
      <c r="A2" s="231" t="s">
        <v>418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</row>
    <row r="3" spans="1:28">
      <c r="A3" s="231" t="str">
        <f>AccAmort!A4</f>
        <v>For The Thirteen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</row>
    <row r="4" spans="1:28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6" spans="1:28">
      <c r="A6" s="2">
        <v>-1</v>
      </c>
      <c r="C6" s="2">
        <v>-2</v>
      </c>
      <c r="E6" s="2">
        <v>-3</v>
      </c>
      <c r="G6" s="2">
        <v>-4</v>
      </c>
      <c r="H6" s="2"/>
      <c r="I6" s="2">
        <v>-5</v>
      </c>
      <c r="J6" s="3"/>
      <c r="K6" s="2">
        <v>-6</v>
      </c>
      <c r="L6" s="2"/>
      <c r="M6" s="2">
        <v>-7</v>
      </c>
      <c r="N6" s="2"/>
      <c r="O6" s="2">
        <v>-7</v>
      </c>
      <c r="P6" s="2"/>
      <c r="Q6" s="2">
        <v>-8</v>
      </c>
      <c r="R6" s="2"/>
      <c r="S6" s="2">
        <v>-9</v>
      </c>
      <c r="T6" s="2"/>
      <c r="U6" s="2">
        <v>-10</v>
      </c>
      <c r="V6" s="2"/>
      <c r="W6" s="2">
        <v>-11</v>
      </c>
      <c r="X6" s="2"/>
      <c r="Y6" s="2">
        <v>-12</v>
      </c>
      <c r="AA6" s="2">
        <v>-13</v>
      </c>
    </row>
    <row r="7" spans="1:28">
      <c r="E7" s="5"/>
      <c r="F7" s="3"/>
      <c r="G7" s="3"/>
      <c r="H7" s="3"/>
      <c r="J7" s="3"/>
      <c r="K7" s="232" t="s">
        <v>3</v>
      </c>
      <c r="L7" s="232"/>
      <c r="M7" s="232"/>
      <c r="N7" s="232"/>
      <c r="O7" s="232"/>
      <c r="P7" s="6"/>
      <c r="Q7" s="3"/>
      <c r="R7" s="3"/>
      <c r="S7" s="7" t="s">
        <v>4</v>
      </c>
      <c r="T7" s="3"/>
      <c r="U7" s="3"/>
      <c r="V7" s="5"/>
      <c r="W7" s="5"/>
      <c r="X7" s="5"/>
      <c r="Z7" s="5"/>
      <c r="AB7" s="5"/>
    </row>
    <row r="8" spans="1:28">
      <c r="A8" s="8" t="s">
        <v>5</v>
      </c>
      <c r="B8" s="8"/>
      <c r="E8" s="5">
        <v>2024</v>
      </c>
      <c r="F8" s="3"/>
      <c r="G8" s="92" t="s">
        <v>419</v>
      </c>
      <c r="H8" s="3"/>
      <c r="I8" s="92" t="s">
        <v>419</v>
      </c>
      <c r="J8" s="6"/>
      <c r="K8" s="7" t="s">
        <v>419</v>
      </c>
      <c r="L8" s="6"/>
      <c r="M8" s="6" t="s">
        <v>6</v>
      </c>
      <c r="N8" s="6"/>
      <c r="O8" s="6"/>
      <c r="P8" s="6"/>
      <c r="Q8" s="6"/>
      <c r="R8" s="6" t="s">
        <v>7</v>
      </c>
      <c r="S8" s="9" t="s">
        <v>8</v>
      </c>
      <c r="T8" s="6"/>
      <c r="U8" s="6"/>
      <c r="V8" s="6"/>
      <c r="W8" s="8"/>
      <c r="X8" s="5"/>
      <c r="Y8" s="8" t="s">
        <v>9</v>
      </c>
      <c r="Z8" s="8"/>
      <c r="AA8" s="5" t="s">
        <v>4</v>
      </c>
      <c r="AB8" s="8"/>
    </row>
    <row r="9" spans="1:28">
      <c r="A9" s="10" t="s">
        <v>10</v>
      </c>
      <c r="B9" s="8"/>
      <c r="C9" s="10" t="s">
        <v>420</v>
      </c>
      <c r="E9" s="11" t="s">
        <v>12</v>
      </c>
      <c r="F9" s="3"/>
      <c r="G9" s="12" t="s">
        <v>13</v>
      </c>
      <c r="H9" s="6"/>
      <c r="I9" s="13" t="s">
        <v>14</v>
      </c>
      <c r="J9" s="6"/>
      <c r="K9" s="13" t="s">
        <v>14</v>
      </c>
      <c r="L9" s="6"/>
      <c r="M9" s="13" t="s">
        <v>15</v>
      </c>
      <c r="N9" s="6"/>
      <c r="O9" s="14" t="s">
        <v>16</v>
      </c>
      <c r="P9" s="9"/>
      <c r="Q9" s="13" t="s">
        <v>17</v>
      </c>
      <c r="R9" s="13" t="s">
        <v>10</v>
      </c>
      <c r="S9" s="14" t="s">
        <v>18</v>
      </c>
      <c r="T9" s="6"/>
      <c r="U9" s="13" t="s">
        <v>19</v>
      </c>
      <c r="V9" s="6"/>
      <c r="W9" s="10" t="s">
        <v>20</v>
      </c>
      <c r="X9" s="8"/>
      <c r="Y9" s="10" t="s">
        <v>21</v>
      </c>
      <c r="Z9" s="8"/>
      <c r="AA9" s="10" t="s">
        <v>18</v>
      </c>
      <c r="AB9" s="8"/>
    </row>
    <row r="10" spans="1:28">
      <c r="A10" s="134"/>
      <c r="B10" s="134"/>
      <c r="C10" s="135"/>
      <c r="D10" s="135"/>
      <c r="E10" s="136"/>
      <c r="F10" s="136"/>
    </row>
    <row r="12" spans="1:28">
      <c r="A12" s="137">
        <v>1</v>
      </c>
      <c r="B12" s="21"/>
      <c r="C12" s="17" t="s">
        <v>393</v>
      </c>
      <c r="E12" s="19">
        <v>140514581.75999999</v>
      </c>
      <c r="F12" s="19"/>
      <c r="G12" s="19">
        <v>0</v>
      </c>
      <c r="I12" s="19">
        <f>SUM(E12:H12)</f>
        <v>140514581.75999999</v>
      </c>
      <c r="K12" s="19">
        <v>0</v>
      </c>
      <c r="L12" s="19"/>
      <c r="M12" s="19">
        <v>0</v>
      </c>
      <c r="N12" s="19"/>
      <c r="O12" s="19">
        <v>0</v>
      </c>
      <c r="P12" s="19"/>
      <c r="Q12" s="19">
        <f>+K12+M12+O12</f>
        <v>0</v>
      </c>
      <c r="R12" s="19"/>
      <c r="S12" s="19">
        <f>I12+Q12</f>
        <v>140514581.75999999</v>
      </c>
      <c r="T12" s="19"/>
      <c r="U12" s="19">
        <v>0</v>
      </c>
      <c r="V12" s="19"/>
      <c r="W12" s="19">
        <v>0</v>
      </c>
      <c r="X12" s="19"/>
      <c r="Y12" s="19">
        <v>0</v>
      </c>
      <c r="Z12" s="19"/>
      <c r="AA12" s="19">
        <f>+S12+U12+W12+Y12</f>
        <v>140514581.75999999</v>
      </c>
      <c r="AB12" s="19"/>
    </row>
    <row r="13" spans="1:28">
      <c r="B13" s="21"/>
      <c r="G13" s="24"/>
      <c r="I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AA13" s="24"/>
    </row>
    <row r="14" spans="1:28">
      <c r="A14" s="137">
        <v>2</v>
      </c>
      <c r="B14" s="21"/>
      <c r="C14" s="21" t="s">
        <v>394</v>
      </c>
      <c r="E14" s="24">
        <v>148233869.42999998</v>
      </c>
      <c r="F14" s="24"/>
      <c r="G14" s="24">
        <v>0</v>
      </c>
      <c r="I14" s="24">
        <f>SUM(E14:H14)</f>
        <v>148233869.42999998</v>
      </c>
      <c r="K14" s="24">
        <v>0</v>
      </c>
      <c r="L14" s="24"/>
      <c r="M14" s="24">
        <v>0</v>
      </c>
      <c r="N14" s="24"/>
      <c r="O14" s="24">
        <v>0</v>
      </c>
      <c r="P14" s="24"/>
      <c r="Q14" s="24">
        <f>+K14+M14+O14</f>
        <v>0</v>
      </c>
      <c r="R14" s="24"/>
      <c r="S14" s="24">
        <f>I14+Q14</f>
        <v>148233869.42999998</v>
      </c>
      <c r="T14" s="24"/>
      <c r="U14" s="24">
        <v>0</v>
      </c>
      <c r="V14" s="24"/>
      <c r="W14" s="24">
        <v>0</v>
      </c>
      <c r="X14" s="24"/>
      <c r="Y14" s="24">
        <v>0</v>
      </c>
      <c r="AA14" s="24">
        <f t="shared" ref="AA14" si="0">+S14+U14+W14+Y14</f>
        <v>148233869.42999998</v>
      </c>
    </row>
    <row r="15" spans="1:28">
      <c r="B15" s="21"/>
      <c r="E15" s="93"/>
      <c r="F15" s="93"/>
      <c r="G15" s="65"/>
      <c r="H15" s="62"/>
      <c r="I15" s="65"/>
      <c r="J15" s="62"/>
      <c r="K15" s="65"/>
      <c r="L15" s="62"/>
      <c r="M15" s="65"/>
      <c r="N15" s="65"/>
      <c r="O15" s="65"/>
      <c r="P15" s="62"/>
      <c r="Q15" s="65"/>
      <c r="R15" s="63"/>
      <c r="S15" s="65"/>
      <c r="T15" s="62"/>
      <c r="U15" s="65"/>
      <c r="V15" s="62"/>
      <c r="W15" s="65"/>
      <c r="X15" s="62"/>
      <c r="Y15" s="65"/>
      <c r="Z15" s="65"/>
      <c r="AA15" s="65"/>
      <c r="AB15" s="65"/>
    </row>
    <row r="16" spans="1:28">
      <c r="A16" s="8" t="s">
        <v>253</v>
      </c>
      <c r="B16" s="21"/>
      <c r="C16" s="21" t="s">
        <v>395</v>
      </c>
      <c r="E16" s="24">
        <v>152887220.72999996</v>
      </c>
      <c r="F16" s="24"/>
      <c r="G16" s="24">
        <v>0</v>
      </c>
      <c r="I16" s="24">
        <f>SUM(E16:H16)</f>
        <v>152887220.72999996</v>
      </c>
      <c r="K16" s="24">
        <v>0</v>
      </c>
      <c r="L16" s="24"/>
      <c r="M16" s="24">
        <v>0</v>
      </c>
      <c r="N16" s="24"/>
      <c r="O16" s="24">
        <v>0</v>
      </c>
      <c r="P16" s="24"/>
      <c r="Q16" s="24">
        <f>+K16+M16+O16</f>
        <v>0</v>
      </c>
      <c r="R16" s="24"/>
      <c r="S16" s="24">
        <f>I16+Q16</f>
        <v>152887220.72999996</v>
      </c>
      <c r="T16" s="24"/>
      <c r="U16" s="24">
        <v>0</v>
      </c>
      <c r="V16" s="24"/>
      <c r="W16" s="24">
        <v>0</v>
      </c>
      <c r="X16" s="24"/>
      <c r="Y16" s="24">
        <v>0</v>
      </c>
      <c r="AA16" s="24">
        <f t="shared" ref="AA16" si="1">+S16+U16+W16+Y16</f>
        <v>152887220.72999996</v>
      </c>
    </row>
    <row r="17" spans="1:28">
      <c r="B17" s="21"/>
      <c r="E17" s="93"/>
      <c r="F17" s="93"/>
      <c r="G17" s="24"/>
    </row>
    <row r="18" spans="1:28">
      <c r="A18" s="8" t="s">
        <v>255</v>
      </c>
      <c r="B18" s="21"/>
      <c r="C18" s="21" t="s">
        <v>396</v>
      </c>
      <c r="E18" s="24">
        <v>156317172.85999995</v>
      </c>
      <c r="F18" s="24"/>
      <c r="G18" s="24">
        <v>0</v>
      </c>
      <c r="I18" s="24">
        <f>SUM(E18:H18)</f>
        <v>156317172.85999995</v>
      </c>
      <c r="K18" s="24">
        <v>0</v>
      </c>
      <c r="L18" s="24"/>
      <c r="M18" s="24">
        <v>0</v>
      </c>
      <c r="N18" s="24"/>
      <c r="O18" s="24">
        <v>0</v>
      </c>
      <c r="P18" s="24"/>
      <c r="Q18" s="24">
        <f>+K18+M18+O18</f>
        <v>0</v>
      </c>
      <c r="R18" s="24"/>
      <c r="S18" s="24">
        <f>I18+Q18</f>
        <v>156317172.85999995</v>
      </c>
      <c r="T18" s="24"/>
      <c r="U18" s="24">
        <v>0</v>
      </c>
      <c r="V18" s="24"/>
      <c r="W18" s="24">
        <v>0</v>
      </c>
      <c r="X18" s="24"/>
      <c r="Y18" s="24">
        <v>0</v>
      </c>
      <c r="AA18" s="24">
        <f t="shared" ref="AA18" si="2">+S18+U18+W18+Y18</f>
        <v>156317172.85999995</v>
      </c>
    </row>
    <row r="19" spans="1:28">
      <c r="B19" s="21"/>
      <c r="E19" s="93"/>
      <c r="F19" s="93"/>
      <c r="G19" s="65"/>
      <c r="H19" s="62"/>
      <c r="I19" s="65"/>
      <c r="J19" s="62"/>
      <c r="K19" s="65"/>
      <c r="L19" s="62"/>
      <c r="M19" s="65"/>
      <c r="N19" s="65"/>
      <c r="O19" s="65"/>
      <c r="P19" s="62"/>
      <c r="Q19" s="65"/>
      <c r="R19" s="63"/>
      <c r="S19" s="65"/>
      <c r="T19" s="62"/>
      <c r="U19" s="65"/>
      <c r="V19" s="62"/>
      <c r="W19" s="65"/>
      <c r="X19" s="62"/>
      <c r="Y19" s="65"/>
      <c r="Z19" s="65"/>
      <c r="AA19" s="65"/>
      <c r="AB19" s="65"/>
    </row>
    <row r="20" spans="1:28">
      <c r="A20" s="8" t="s">
        <v>258</v>
      </c>
      <c r="B20" s="21"/>
      <c r="C20" s="21" t="s">
        <v>397</v>
      </c>
      <c r="E20" s="24">
        <v>159897945.74999997</v>
      </c>
      <c r="F20" s="24"/>
      <c r="G20" s="24">
        <v>0</v>
      </c>
      <c r="I20" s="24">
        <f>SUM(E20:H20)</f>
        <v>159897945.74999997</v>
      </c>
      <c r="K20" s="24">
        <v>0</v>
      </c>
      <c r="L20" s="24"/>
      <c r="M20" s="24">
        <v>0</v>
      </c>
      <c r="N20" s="24"/>
      <c r="O20" s="24">
        <v>0</v>
      </c>
      <c r="P20" s="24"/>
      <c r="Q20" s="24">
        <f>+K20+M20+O20</f>
        <v>0</v>
      </c>
      <c r="R20" s="24"/>
      <c r="S20" s="24">
        <f>I20+Q20</f>
        <v>159897945.74999997</v>
      </c>
      <c r="T20" s="24"/>
      <c r="U20" s="24">
        <v>0</v>
      </c>
      <c r="V20" s="24"/>
      <c r="W20" s="24">
        <v>0</v>
      </c>
      <c r="X20" s="24"/>
      <c r="Y20" s="24">
        <v>0</v>
      </c>
      <c r="AA20" s="24">
        <f t="shared" ref="AA20" si="3">+S20+U20+W20+Y20</f>
        <v>159897945.74999997</v>
      </c>
    </row>
    <row r="21" spans="1:28">
      <c r="B21" s="21"/>
      <c r="E21" s="93"/>
      <c r="F21" s="93"/>
      <c r="G21" s="24"/>
    </row>
    <row r="22" spans="1:28">
      <c r="A22" s="8" t="s">
        <v>260</v>
      </c>
      <c r="B22" s="21"/>
      <c r="C22" s="21" t="s">
        <v>398</v>
      </c>
      <c r="E22" s="24">
        <v>160152991.24999997</v>
      </c>
      <c r="F22" s="24"/>
      <c r="G22" s="24">
        <v>0</v>
      </c>
      <c r="I22" s="24">
        <f>SUM(E22:H22)</f>
        <v>160152991.24999997</v>
      </c>
      <c r="K22" s="24">
        <v>0</v>
      </c>
      <c r="L22" s="24"/>
      <c r="M22" s="24">
        <v>0</v>
      </c>
      <c r="N22" s="24"/>
      <c r="O22" s="24">
        <v>0</v>
      </c>
      <c r="P22" s="24"/>
      <c r="Q22" s="24">
        <f>+K22+M22+O22</f>
        <v>0</v>
      </c>
      <c r="R22" s="24"/>
      <c r="S22" s="24">
        <f>I22+Q22</f>
        <v>160152991.24999997</v>
      </c>
      <c r="T22" s="24"/>
      <c r="U22" s="24">
        <v>0</v>
      </c>
      <c r="V22" s="24"/>
      <c r="W22" s="24">
        <v>0</v>
      </c>
      <c r="X22" s="24"/>
      <c r="Y22" s="24">
        <v>0</v>
      </c>
      <c r="AA22" s="24">
        <f t="shared" ref="AA22" si="4">+S22+U22+W22+Y22</f>
        <v>160152991.24999997</v>
      </c>
    </row>
    <row r="23" spans="1:28">
      <c r="B23" s="21"/>
      <c r="E23" s="93"/>
      <c r="F23" s="93"/>
      <c r="G23" s="65"/>
      <c r="H23" s="62"/>
      <c r="I23" s="65"/>
      <c r="J23" s="62"/>
      <c r="K23" s="65"/>
      <c r="L23" s="62"/>
      <c r="M23" s="65"/>
      <c r="N23" s="65"/>
      <c r="O23" s="65"/>
      <c r="P23" s="62"/>
      <c r="Q23" s="65"/>
      <c r="R23" s="63"/>
      <c r="S23" s="65"/>
      <c r="T23" s="62"/>
      <c r="U23" s="65"/>
      <c r="V23" s="62"/>
      <c r="W23" s="65"/>
      <c r="X23" s="62"/>
      <c r="Y23" s="65"/>
      <c r="Z23" s="65"/>
      <c r="AA23" s="65"/>
      <c r="AB23" s="65"/>
    </row>
    <row r="24" spans="1:28">
      <c r="A24" s="8" t="s">
        <v>262</v>
      </c>
      <c r="B24" s="21"/>
      <c r="C24" s="21" t="s">
        <v>399</v>
      </c>
      <c r="E24" s="24">
        <v>165179842.65999997</v>
      </c>
      <c r="F24" s="24"/>
      <c r="G24" s="24">
        <v>0</v>
      </c>
      <c r="I24" s="24">
        <f>SUM(E24:H24)</f>
        <v>165179842.65999997</v>
      </c>
      <c r="K24" s="24">
        <v>0</v>
      </c>
      <c r="L24" s="24"/>
      <c r="M24" s="24">
        <v>0</v>
      </c>
      <c r="N24" s="24"/>
      <c r="O24" s="24">
        <v>0</v>
      </c>
      <c r="P24" s="24"/>
      <c r="Q24" s="24">
        <f>+K24+M24+O24</f>
        <v>0</v>
      </c>
      <c r="R24" s="24"/>
      <c r="S24" s="24">
        <f>I24+Q24</f>
        <v>165179842.65999997</v>
      </c>
      <c r="T24" s="24"/>
      <c r="U24" s="24">
        <v>0</v>
      </c>
      <c r="V24" s="24"/>
      <c r="W24" s="24">
        <v>0</v>
      </c>
      <c r="X24" s="24"/>
      <c r="Y24" s="24">
        <v>0</v>
      </c>
      <c r="AA24" s="24">
        <f t="shared" ref="AA24" si="5">+S24+U24+W24+Y24</f>
        <v>165179842.65999997</v>
      </c>
    </row>
    <row r="25" spans="1:28">
      <c r="B25" s="21"/>
      <c r="E25" s="24"/>
      <c r="F25" s="24"/>
      <c r="G25" s="24"/>
    </row>
    <row r="26" spans="1:28">
      <c r="A26" s="8" t="s">
        <v>264</v>
      </c>
      <c r="B26" s="21"/>
      <c r="C26" s="21" t="s">
        <v>400</v>
      </c>
      <c r="E26" s="24">
        <v>165621793.53999996</v>
      </c>
      <c r="F26" s="24"/>
      <c r="G26" s="24">
        <v>0</v>
      </c>
      <c r="I26" s="24">
        <f>SUM(E26:H26)</f>
        <v>165621793.53999996</v>
      </c>
      <c r="K26" s="24">
        <v>0</v>
      </c>
      <c r="L26" s="24"/>
      <c r="M26" s="24">
        <v>0</v>
      </c>
      <c r="N26" s="24"/>
      <c r="O26" s="24">
        <v>0</v>
      </c>
      <c r="P26" s="24"/>
      <c r="Q26" s="24">
        <f>+K26+M26+O26</f>
        <v>0</v>
      </c>
      <c r="R26" s="24"/>
      <c r="S26" s="24">
        <f>I26+Q26</f>
        <v>165621793.53999996</v>
      </c>
      <c r="T26" s="24"/>
      <c r="U26" s="24">
        <v>0</v>
      </c>
      <c r="V26" s="24"/>
      <c r="W26" s="24">
        <v>0</v>
      </c>
      <c r="X26" s="24"/>
      <c r="Y26" s="24">
        <v>0</v>
      </c>
      <c r="AA26" s="24">
        <f t="shared" ref="AA26" si="6">+S26+U26+W26+Y26</f>
        <v>165621793.53999996</v>
      </c>
    </row>
    <row r="27" spans="1:28">
      <c r="B27" s="21"/>
      <c r="E27" s="24"/>
      <c r="F27" s="24"/>
      <c r="G27" s="65"/>
      <c r="H27" s="62"/>
      <c r="I27" s="65"/>
      <c r="J27" s="62"/>
      <c r="K27" s="65"/>
      <c r="L27" s="62"/>
      <c r="M27" s="65"/>
      <c r="N27" s="65"/>
      <c r="O27" s="65"/>
      <c r="P27" s="62"/>
      <c r="Q27" s="65"/>
      <c r="R27" s="63"/>
      <c r="S27" s="65"/>
      <c r="T27" s="62"/>
      <c r="U27" s="65"/>
      <c r="V27" s="62"/>
      <c r="W27" s="65"/>
      <c r="X27" s="62"/>
      <c r="Y27" s="65"/>
      <c r="Z27" s="65"/>
      <c r="AA27" s="65"/>
      <c r="AB27" s="65"/>
    </row>
    <row r="28" spans="1:28">
      <c r="A28" s="8" t="s">
        <v>266</v>
      </c>
      <c r="B28" s="21"/>
      <c r="C28" s="21" t="s">
        <v>401</v>
      </c>
      <c r="E28" s="24">
        <v>170891209.92999998</v>
      </c>
      <c r="F28" s="24"/>
      <c r="G28" s="24">
        <v>0</v>
      </c>
      <c r="I28" s="24">
        <f>SUM(E28:H28)</f>
        <v>170891209.92999998</v>
      </c>
      <c r="K28" s="24">
        <v>0</v>
      </c>
      <c r="L28" s="24"/>
      <c r="M28" s="24">
        <v>0</v>
      </c>
      <c r="N28" s="24"/>
      <c r="O28" s="24">
        <v>0</v>
      </c>
      <c r="P28" s="24"/>
      <c r="Q28" s="24">
        <f>+K28+M28+O28</f>
        <v>0</v>
      </c>
      <c r="R28" s="24"/>
      <c r="S28" s="24">
        <f>I28+Q28</f>
        <v>170891209.92999998</v>
      </c>
      <c r="T28" s="24"/>
      <c r="U28" s="24">
        <v>0</v>
      </c>
      <c r="V28" s="24"/>
      <c r="W28" s="24">
        <v>0</v>
      </c>
      <c r="X28" s="24"/>
      <c r="Y28" s="24">
        <v>0</v>
      </c>
      <c r="AA28" s="24">
        <f t="shared" ref="AA28" si="7">+S28+U28+W28+Y28</f>
        <v>170891209.92999998</v>
      </c>
    </row>
    <row r="29" spans="1:28">
      <c r="B29" s="21"/>
      <c r="E29" s="24"/>
      <c r="F29" s="24"/>
      <c r="G29" s="24"/>
    </row>
    <row r="30" spans="1:28">
      <c r="A30" s="8" t="s">
        <v>402</v>
      </c>
      <c r="B30" s="21"/>
      <c r="C30" s="21" t="s">
        <v>403</v>
      </c>
      <c r="E30" s="24">
        <v>179692817.22999996</v>
      </c>
      <c r="F30" s="24"/>
      <c r="G30" s="24">
        <v>0</v>
      </c>
      <c r="I30" s="24">
        <f>SUM(E30:H30)</f>
        <v>179692817.22999996</v>
      </c>
      <c r="K30" s="24">
        <v>0</v>
      </c>
      <c r="L30" s="24"/>
      <c r="M30" s="24">
        <v>0</v>
      </c>
      <c r="N30" s="24"/>
      <c r="O30" s="24">
        <v>0</v>
      </c>
      <c r="P30" s="24"/>
      <c r="Q30" s="24">
        <f>+K30+M30+O30</f>
        <v>0</v>
      </c>
      <c r="R30" s="24"/>
      <c r="S30" s="24">
        <f>I30+Q30</f>
        <v>179692817.22999996</v>
      </c>
      <c r="T30" s="24"/>
      <c r="U30" s="24">
        <v>0</v>
      </c>
      <c r="V30" s="24"/>
      <c r="W30" s="24">
        <v>0</v>
      </c>
      <c r="X30" s="24"/>
      <c r="Y30" s="24">
        <v>0</v>
      </c>
      <c r="AA30" s="24">
        <f t="shared" ref="AA30" si="8">+S30+U30+W30+Y30</f>
        <v>179692817.22999996</v>
      </c>
    </row>
    <row r="31" spans="1:28">
      <c r="B31" s="21"/>
      <c r="E31" s="24"/>
      <c r="F31" s="24"/>
      <c r="G31" s="65"/>
      <c r="H31" s="62"/>
      <c r="I31" s="65"/>
      <c r="J31" s="62"/>
      <c r="K31" s="65"/>
      <c r="L31" s="62"/>
      <c r="M31" s="65"/>
      <c r="N31" s="65"/>
      <c r="O31" s="65"/>
      <c r="P31" s="62"/>
      <c r="Q31" s="65"/>
      <c r="R31" s="63"/>
      <c r="S31" s="65"/>
      <c r="T31" s="62"/>
      <c r="U31" s="65"/>
      <c r="V31" s="62"/>
      <c r="W31" s="65"/>
      <c r="X31" s="62"/>
      <c r="Y31" s="65"/>
      <c r="Z31" s="65"/>
      <c r="AA31" s="65"/>
      <c r="AB31" s="65"/>
    </row>
    <row r="32" spans="1:28">
      <c r="A32" s="8" t="s">
        <v>404</v>
      </c>
      <c r="B32" s="21"/>
      <c r="C32" s="21" t="s">
        <v>405</v>
      </c>
      <c r="E32" s="24">
        <v>186283338.19999996</v>
      </c>
      <c r="F32" s="24"/>
      <c r="G32" s="24">
        <v>0</v>
      </c>
      <c r="I32" s="24">
        <f>SUM(E32:H32)</f>
        <v>186283338.19999996</v>
      </c>
      <c r="K32" s="24">
        <v>0</v>
      </c>
      <c r="L32" s="24"/>
      <c r="M32" s="24">
        <v>0</v>
      </c>
      <c r="N32" s="24"/>
      <c r="O32" s="24">
        <v>0</v>
      </c>
      <c r="P32" s="24"/>
      <c r="Q32" s="24">
        <f>+K32+M32+O32</f>
        <v>0</v>
      </c>
      <c r="R32" s="24"/>
      <c r="S32" s="24">
        <f>I32+Q32</f>
        <v>186283338.19999996</v>
      </c>
      <c r="T32" s="24"/>
      <c r="U32" s="24">
        <v>0</v>
      </c>
      <c r="V32" s="24"/>
      <c r="W32" s="24">
        <v>0</v>
      </c>
      <c r="X32" s="24"/>
      <c r="Y32" s="24">
        <v>0</v>
      </c>
      <c r="AA32" s="24">
        <f t="shared" ref="AA32" si="9">+S32+U32+W32+Y32</f>
        <v>186283338.19999996</v>
      </c>
    </row>
    <row r="33" spans="1:28">
      <c r="B33" s="21"/>
      <c r="E33" s="93"/>
      <c r="F33" s="93"/>
      <c r="G33" s="24"/>
    </row>
    <row r="34" spans="1:28">
      <c r="A34" s="8" t="s">
        <v>406</v>
      </c>
      <c r="B34" s="21"/>
      <c r="C34" s="21" t="s">
        <v>407</v>
      </c>
      <c r="E34" s="24">
        <v>197203731.73999995</v>
      </c>
      <c r="F34" s="24"/>
      <c r="G34" s="24">
        <v>-10853295.859999999</v>
      </c>
      <c r="I34" s="24">
        <f>SUM(E34:H34)</f>
        <v>186350435.87999994</v>
      </c>
      <c r="K34" s="24">
        <v>0</v>
      </c>
      <c r="L34" s="24"/>
      <c r="M34" s="24">
        <v>0</v>
      </c>
      <c r="N34" s="24"/>
      <c r="O34" s="24">
        <v>0</v>
      </c>
      <c r="P34" s="24"/>
      <c r="Q34" s="24">
        <f>+K34+M34+O34</f>
        <v>0</v>
      </c>
      <c r="R34" s="24"/>
      <c r="S34" s="24">
        <f>I34+Q34</f>
        <v>186350435.87999994</v>
      </c>
      <c r="T34" s="24"/>
      <c r="U34" s="24">
        <v>0</v>
      </c>
      <c r="V34" s="24"/>
      <c r="W34" s="24">
        <v>0</v>
      </c>
      <c r="X34" s="24"/>
      <c r="Y34" s="24">
        <v>0</v>
      </c>
      <c r="AA34" s="24">
        <f t="shared" ref="AA34" si="10">+S34+U34+W34+Y34</f>
        <v>186350435.87999994</v>
      </c>
    </row>
    <row r="35" spans="1:28">
      <c r="B35" s="21"/>
      <c r="E35" s="24"/>
      <c r="F35" s="24"/>
      <c r="G35" s="65"/>
      <c r="H35" s="62"/>
      <c r="I35" s="65"/>
      <c r="J35" s="62"/>
      <c r="K35" s="65"/>
      <c r="L35" s="62"/>
      <c r="M35" s="65"/>
      <c r="N35" s="65"/>
      <c r="O35" s="65"/>
      <c r="P35" s="62"/>
      <c r="Q35" s="65"/>
      <c r="R35" s="63"/>
      <c r="S35" s="65"/>
      <c r="T35" s="62"/>
      <c r="U35" s="65"/>
      <c r="V35" s="62"/>
      <c r="W35" s="65"/>
      <c r="X35" s="62"/>
      <c r="Y35" s="65"/>
      <c r="Z35" s="65"/>
      <c r="AA35" s="65"/>
      <c r="AB35" s="65"/>
    </row>
    <row r="36" spans="1:28">
      <c r="A36" s="8" t="s">
        <v>408</v>
      </c>
      <c r="B36" s="21"/>
      <c r="C36" s="21" t="s">
        <v>409</v>
      </c>
      <c r="E36" s="24">
        <v>201064421.17999995</v>
      </c>
      <c r="F36" s="24"/>
      <c r="G36" s="24">
        <v>-10853295.859999999</v>
      </c>
      <c r="I36" s="24">
        <f>SUM(E36:H36)</f>
        <v>190211125.31999993</v>
      </c>
      <c r="K36" s="24">
        <v>0</v>
      </c>
      <c r="L36" s="24"/>
      <c r="M36" s="24">
        <v>0</v>
      </c>
      <c r="N36" s="24"/>
      <c r="O36" s="24">
        <v>0</v>
      </c>
      <c r="P36" s="24"/>
      <c r="Q36" s="24">
        <f>+K36+M36+O36</f>
        <v>0</v>
      </c>
      <c r="R36" s="24"/>
      <c r="S36" s="24">
        <f>I36+Q36</f>
        <v>190211125.31999993</v>
      </c>
      <c r="T36" s="24"/>
      <c r="U36" s="24">
        <v>0</v>
      </c>
      <c r="V36" s="24"/>
      <c r="W36" s="24">
        <v>0</v>
      </c>
      <c r="X36" s="24"/>
      <c r="Y36" s="24">
        <v>0</v>
      </c>
      <c r="AA36" s="24">
        <f>+S36+U36+W36+Y36</f>
        <v>190211125.31999993</v>
      </c>
    </row>
    <row r="37" spans="1:28">
      <c r="E37" s="24"/>
      <c r="F37" s="24"/>
      <c r="G37" s="90"/>
    </row>
    <row r="38" spans="1:28">
      <c r="E38" s="24"/>
      <c r="F38" s="24"/>
      <c r="G38" s="90"/>
    </row>
    <row r="39" spans="1:28" ht="13.5" thickBot="1">
      <c r="A39" s="8" t="s">
        <v>410</v>
      </c>
      <c r="B39" s="8"/>
      <c r="C39" s="21" t="s">
        <v>411</v>
      </c>
      <c r="E39" s="42">
        <f>SUM(E12:E36)/13</f>
        <v>167995456.63538459</v>
      </c>
      <c r="F39" s="19"/>
      <c r="G39" s="42">
        <f>SUM(G12:G38)/13</f>
        <v>-1669737.8246153845</v>
      </c>
      <c r="I39" s="42">
        <f>SUM(I12:I38)/13</f>
        <v>166325718.81076923</v>
      </c>
      <c r="K39" s="42">
        <f>SUM(K12:K38)/13</f>
        <v>0</v>
      </c>
      <c r="M39" s="42">
        <f>SUM(M12:M38)/13</f>
        <v>0</v>
      </c>
      <c r="N39" s="19" t="s">
        <v>421</v>
      </c>
      <c r="O39" s="42">
        <f>SUM(O12:O38)/13</f>
        <v>0</v>
      </c>
      <c r="Q39" s="42">
        <f>SUM(Q12:Q38)/13</f>
        <v>0</v>
      </c>
      <c r="R39" s="53" t="s">
        <v>421</v>
      </c>
      <c r="S39" s="42">
        <f>SUM(S12:S38)/13</f>
        <v>166325718.81076923</v>
      </c>
      <c r="T39" s="19"/>
      <c r="U39" s="42">
        <f>SUM(U12:U38)/13</f>
        <v>0</v>
      </c>
      <c r="W39" s="42">
        <f>SUM(W12:W38)/13</f>
        <v>0</v>
      </c>
      <c r="Y39" s="42">
        <f>SUM(Y12:Y38)/13</f>
        <v>0</v>
      </c>
      <c r="AA39" s="42">
        <f>+S39</f>
        <v>166325718.81076923</v>
      </c>
    </row>
    <row r="40" spans="1:28" ht="13.5" thickTop="1">
      <c r="K40" s="20"/>
      <c r="M40" s="19"/>
      <c r="N40" s="16"/>
      <c r="O40" s="19"/>
      <c r="P40" s="19"/>
      <c r="Q40" s="19"/>
      <c r="R40" s="19"/>
      <c r="S40" s="19"/>
      <c r="T40" s="19"/>
      <c r="U40" s="19"/>
      <c r="V40" s="19"/>
      <c r="Y40" s="19"/>
      <c r="Z40" s="19"/>
      <c r="AA40" s="19"/>
      <c r="AB40" s="19"/>
    </row>
  </sheetData>
  <mergeCells count="4">
    <mergeCell ref="A1:AA1"/>
    <mergeCell ref="A2:AA2"/>
    <mergeCell ref="A3:AA3"/>
    <mergeCell ref="K7:O7"/>
  </mergeCells>
  <phoneticPr fontId="0" type="noConversion"/>
  <printOptions horizontalCentered="1"/>
  <pageMargins left="1" right="1" top="1" bottom="1" header="0.3" footer="0.3"/>
  <pageSetup scale="52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7">
    <pageSetUpPr fitToPage="1"/>
  </sheetPr>
  <dimension ref="A1:AE58"/>
  <sheetViews>
    <sheetView topLeftCell="B1" zoomScale="90" zoomScaleNormal="90" workbookViewId="0">
      <selection activeCell="C42" sqref="C42"/>
    </sheetView>
  </sheetViews>
  <sheetFormatPr defaultColWidth="9" defaultRowHeight="12.75"/>
  <cols>
    <col min="1" max="1" width="7.75" style="1" customWidth="1"/>
    <col min="2" max="2" width="1.25" style="1" customWidth="1"/>
    <col min="3" max="3" width="1" style="1" customWidth="1"/>
    <col min="4" max="4" width="68.875" style="1" bestFit="1" customWidth="1"/>
    <col min="5" max="5" width="1.125" style="1" customWidth="1"/>
    <col min="6" max="6" width="14.125" style="1" customWidth="1"/>
    <col min="7" max="7" width="1.375" style="1" customWidth="1"/>
    <col min="8" max="8" width="13.25" style="1" bestFit="1" customWidth="1"/>
    <col min="9" max="9" width="1.875" style="1" customWidth="1"/>
    <col min="10" max="10" width="14.125" style="1" customWidth="1"/>
    <col min="11" max="11" width="1.25" style="1" customWidth="1"/>
    <col min="12" max="12" width="9.375" style="1" customWidth="1"/>
    <col min="13" max="13" width="1.125" style="1" customWidth="1"/>
    <col min="14" max="14" width="9" style="1" hidden="1" customWidth="1"/>
    <col min="15" max="15" width="1.75" style="1" hidden="1" customWidth="1"/>
    <col min="16" max="16" width="14.25" style="1" bestFit="1" customWidth="1"/>
    <col min="17" max="17" width="1.75" style="1" customWidth="1"/>
    <col min="18" max="18" width="14" style="1" customWidth="1"/>
    <col min="19" max="19" width="4.75" style="1" bestFit="1" customWidth="1"/>
    <col min="20" max="20" width="1.75" style="1" customWidth="1"/>
    <col min="21" max="21" width="14.125" style="1" customWidth="1"/>
    <col min="22" max="22" width="1.375" style="1" customWidth="1"/>
    <col min="23" max="23" width="8.375" style="1" hidden="1" customWidth="1"/>
    <col min="24" max="24" width="1.25" style="1" hidden="1" customWidth="1"/>
    <col min="25" max="25" width="13" style="1" bestFit="1" customWidth="1"/>
    <col min="26" max="26" width="1.75" style="1" customWidth="1"/>
    <col min="27" max="27" width="0" style="1" hidden="1" customWidth="1"/>
    <col min="28" max="28" width="2.25" style="1" hidden="1" customWidth="1"/>
    <col min="29" max="29" width="14.375" style="1" customWidth="1"/>
    <col min="30" max="30" width="13.125" style="1" bestFit="1" customWidth="1"/>
    <col min="31" max="31" width="13" style="1" bestFit="1" customWidth="1"/>
    <col min="32" max="32" width="13.125" style="1" customWidth="1"/>
    <col min="33" max="33" width="13" style="1" bestFit="1" customWidth="1"/>
    <col min="34" max="16384" width="9" style="1"/>
  </cols>
  <sheetData>
    <row r="1" spans="1:30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</row>
    <row r="2" spans="1:30">
      <c r="A2" s="231" t="s">
        <v>422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</row>
    <row r="3" spans="1:30">
      <c r="A3" s="231" t="s">
        <v>423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</row>
    <row r="6" spans="1:30">
      <c r="A6" s="2">
        <v>-1</v>
      </c>
      <c r="D6" s="2">
        <v>-2</v>
      </c>
      <c r="F6" s="2">
        <v>-3</v>
      </c>
      <c r="H6" s="2">
        <v>-4</v>
      </c>
      <c r="I6" s="2"/>
      <c r="J6" s="2">
        <v>-5</v>
      </c>
      <c r="K6" s="3"/>
      <c r="L6" s="2">
        <v>-6</v>
      </c>
      <c r="M6" s="2"/>
      <c r="N6" s="2">
        <v>-7</v>
      </c>
      <c r="O6" s="2"/>
      <c r="P6" s="2">
        <v>-7</v>
      </c>
      <c r="Q6" s="2"/>
      <c r="R6" s="2">
        <v>-8</v>
      </c>
      <c r="S6" s="2"/>
      <c r="T6" s="2"/>
      <c r="U6" s="2">
        <v>-9</v>
      </c>
      <c r="V6" s="2"/>
      <c r="W6" s="2">
        <v>-11</v>
      </c>
      <c r="X6" s="2"/>
      <c r="Y6" s="2">
        <v>-10</v>
      </c>
      <c r="Z6" s="2"/>
      <c r="AA6" s="2">
        <v>-13</v>
      </c>
      <c r="AC6" s="2">
        <v>-11</v>
      </c>
    </row>
    <row r="7" spans="1:30">
      <c r="F7" s="5"/>
      <c r="G7" s="3"/>
      <c r="H7" s="3"/>
      <c r="I7" s="3"/>
      <c r="K7" s="3"/>
      <c r="L7" s="232" t="s">
        <v>3</v>
      </c>
      <c r="M7" s="232"/>
      <c r="N7" s="232"/>
      <c r="O7" s="232"/>
      <c r="P7" s="232"/>
      <c r="Q7" s="6"/>
      <c r="R7" s="3"/>
      <c r="S7" s="3"/>
      <c r="T7" s="3"/>
      <c r="U7" s="7" t="s">
        <v>4</v>
      </c>
      <c r="V7" s="3"/>
      <c r="W7" s="3"/>
      <c r="X7" s="5"/>
      <c r="Y7" s="5"/>
      <c r="Z7" s="5"/>
      <c r="AB7" s="5"/>
    </row>
    <row r="8" spans="1:30">
      <c r="A8" s="8" t="s">
        <v>5</v>
      </c>
      <c r="B8" s="8"/>
      <c r="F8" s="5">
        <v>2024</v>
      </c>
      <c r="G8" s="3"/>
      <c r="H8" s="5">
        <v>2024</v>
      </c>
      <c r="I8" s="3"/>
      <c r="J8" s="5">
        <v>2024</v>
      </c>
      <c r="K8" s="6"/>
      <c r="L8" s="5">
        <v>2024</v>
      </c>
      <c r="M8" s="6"/>
      <c r="N8" s="6" t="s">
        <v>6</v>
      </c>
      <c r="O8" s="6"/>
      <c r="P8" s="6"/>
      <c r="Q8" s="6"/>
      <c r="R8" s="6"/>
      <c r="S8" s="6" t="s">
        <v>7</v>
      </c>
      <c r="T8" s="6"/>
      <c r="U8" s="9" t="s">
        <v>8</v>
      </c>
      <c r="V8" s="6"/>
      <c r="W8" s="6"/>
      <c r="X8" s="6"/>
      <c r="Y8" s="8"/>
      <c r="Z8" s="5"/>
      <c r="AA8" s="8" t="s">
        <v>9</v>
      </c>
      <c r="AB8" s="8"/>
      <c r="AC8" s="5" t="s">
        <v>4</v>
      </c>
    </row>
    <row r="9" spans="1:30" ht="12.75" customHeight="1">
      <c r="A9" s="10" t="s">
        <v>10</v>
      </c>
      <c r="B9" s="8"/>
      <c r="D9" s="10" t="s">
        <v>11</v>
      </c>
      <c r="F9" s="11" t="s">
        <v>12</v>
      </c>
      <c r="G9" s="3"/>
      <c r="H9" s="12" t="s">
        <v>13</v>
      </c>
      <c r="I9" s="6"/>
      <c r="J9" s="13" t="s">
        <v>14</v>
      </c>
      <c r="K9" s="6"/>
      <c r="L9" s="13" t="s">
        <v>14</v>
      </c>
      <c r="M9" s="6"/>
      <c r="N9" s="13" t="s">
        <v>15</v>
      </c>
      <c r="O9" s="6"/>
      <c r="P9" s="14" t="s">
        <v>16</v>
      </c>
      <c r="Q9" s="9"/>
      <c r="R9" s="13" t="s">
        <v>17</v>
      </c>
      <c r="S9" s="13" t="s">
        <v>10</v>
      </c>
      <c r="T9" s="6"/>
      <c r="U9" s="14" t="s">
        <v>18</v>
      </c>
      <c r="V9" s="6"/>
      <c r="W9" s="13" t="s">
        <v>19</v>
      </c>
      <c r="X9" s="6"/>
      <c r="Y9" s="10" t="s">
        <v>20</v>
      </c>
      <c r="Z9" s="8"/>
      <c r="AA9" s="10" t="s">
        <v>21</v>
      </c>
      <c r="AB9" s="8"/>
      <c r="AC9" s="10" t="s">
        <v>18</v>
      </c>
    </row>
    <row r="10" spans="1:30">
      <c r="A10" s="8"/>
      <c r="B10" s="8"/>
      <c r="C10" s="8"/>
      <c r="D10" s="17"/>
      <c r="E10" s="17"/>
      <c r="F10" s="68"/>
      <c r="G10" s="68"/>
      <c r="H10" s="68"/>
    </row>
    <row r="11" spans="1:30">
      <c r="A11" s="8"/>
      <c r="B11" s="1" t="s">
        <v>424</v>
      </c>
    </row>
    <row r="12" spans="1:30">
      <c r="A12" s="8"/>
    </row>
    <row r="13" spans="1:30">
      <c r="A13" s="8"/>
      <c r="C13" s="1" t="s">
        <v>425</v>
      </c>
    </row>
    <row r="14" spans="1:30">
      <c r="A14" s="8"/>
    </row>
    <row r="15" spans="1:30">
      <c r="A15" s="8">
        <v>1</v>
      </c>
      <c r="B15" s="8"/>
      <c r="D15" s="94" t="s">
        <v>426</v>
      </c>
      <c r="E15" s="36"/>
      <c r="F15" s="19">
        <v>10425.900000000001</v>
      </c>
      <c r="G15" s="19"/>
      <c r="H15" s="19">
        <v>0</v>
      </c>
      <c r="J15" s="19">
        <f>SUM(F15:I15)</f>
        <v>10425.900000000001</v>
      </c>
      <c r="L15" s="19"/>
      <c r="M15" s="19"/>
      <c r="N15" s="19">
        <v>0</v>
      </c>
      <c r="O15" s="19"/>
      <c r="P15" s="19">
        <v>-10425.9</v>
      </c>
      <c r="Q15" s="19"/>
      <c r="R15" s="24">
        <f>+L15+N15+P15</f>
        <v>-10425.9</v>
      </c>
      <c r="S15" s="19"/>
      <c r="T15" s="19"/>
      <c r="U15" s="19">
        <f>+J15+R15</f>
        <v>0</v>
      </c>
      <c r="V15" s="19"/>
      <c r="W15" s="19">
        <v>0</v>
      </c>
      <c r="X15" s="19"/>
      <c r="Y15" s="19">
        <v>0</v>
      </c>
      <c r="Z15" s="19"/>
      <c r="AA15" s="19">
        <v>0</v>
      </c>
      <c r="AB15" s="19"/>
      <c r="AC15" s="19">
        <f>+U15+W15+Y15+AA15</f>
        <v>0</v>
      </c>
      <c r="AD15" s="36"/>
    </row>
    <row r="16" spans="1:30">
      <c r="A16" s="8"/>
      <c r="B16" s="8"/>
      <c r="D16" s="36"/>
      <c r="E16" s="36"/>
      <c r="F16" s="19"/>
      <c r="G16" s="19"/>
      <c r="H16" s="19"/>
      <c r="J16" s="19"/>
      <c r="L16" s="19"/>
      <c r="N16" s="19"/>
      <c r="O16" s="19"/>
      <c r="P16" s="19"/>
      <c r="R16" s="19"/>
      <c r="S16" s="19"/>
      <c r="U16" s="19"/>
      <c r="V16" s="19"/>
      <c r="W16" s="19"/>
      <c r="Y16" s="19"/>
      <c r="AA16" s="19"/>
      <c r="AC16" s="19"/>
    </row>
    <row r="17" spans="1:31">
      <c r="A17" s="8"/>
      <c r="B17" s="8"/>
      <c r="C17" s="1" t="s">
        <v>427</v>
      </c>
      <c r="D17" s="36"/>
      <c r="E17" s="36"/>
      <c r="F17" s="19"/>
      <c r="G17" s="19"/>
      <c r="H17" s="19"/>
      <c r="J17" s="19"/>
      <c r="L17" s="19"/>
      <c r="N17" s="19"/>
      <c r="O17" s="19"/>
      <c r="P17" s="19"/>
      <c r="R17" s="19"/>
      <c r="S17" s="19"/>
      <c r="U17" s="19"/>
      <c r="V17" s="19"/>
      <c r="W17" s="19"/>
      <c r="Y17" s="19"/>
      <c r="AA17" s="19"/>
      <c r="AC17" s="19"/>
    </row>
    <row r="18" spans="1:31">
      <c r="A18" s="8"/>
      <c r="Y18" s="15"/>
    </row>
    <row r="19" spans="1:31">
      <c r="A19" s="8">
        <v>2</v>
      </c>
      <c r="D19" s="94" t="s">
        <v>428</v>
      </c>
      <c r="E19" s="95"/>
      <c r="F19" s="24">
        <v>11563838.76</v>
      </c>
      <c r="G19" s="95"/>
      <c r="H19" s="24">
        <v>0</v>
      </c>
      <c r="J19" s="24">
        <f>SUM(F19:I19)</f>
        <v>11563838.76</v>
      </c>
      <c r="L19" s="24"/>
      <c r="M19" s="24"/>
      <c r="N19" s="24">
        <v>0</v>
      </c>
      <c r="O19" s="24"/>
      <c r="P19" s="24">
        <v>-643866.36</v>
      </c>
      <c r="Q19" s="24"/>
      <c r="R19" s="24">
        <f>+L19+N19+P19</f>
        <v>-643866.36</v>
      </c>
      <c r="S19" s="24"/>
      <c r="T19" s="24"/>
      <c r="U19" s="24">
        <f>+J19+R19</f>
        <v>10919972.4</v>
      </c>
      <c r="V19" s="24"/>
      <c r="W19" s="24">
        <v>0</v>
      </c>
      <c r="X19" s="24"/>
      <c r="Y19" s="24">
        <v>0</v>
      </c>
      <c r="Z19" s="24"/>
      <c r="AA19" s="24">
        <v>0</v>
      </c>
      <c r="AC19" s="24">
        <f t="shared" ref="AC19" si="0">+U19+W19+Y19+AA19</f>
        <v>10919972.4</v>
      </c>
    </row>
    <row r="20" spans="1:31">
      <c r="A20" s="8"/>
      <c r="D20" s="5"/>
      <c r="E20" s="96"/>
      <c r="F20" s="24"/>
      <c r="G20" s="96"/>
      <c r="H20" s="24"/>
    </row>
    <row r="21" spans="1:31">
      <c r="A21" s="8">
        <v>3</v>
      </c>
      <c r="D21" s="94" t="s">
        <v>429</v>
      </c>
      <c r="E21" s="95"/>
      <c r="F21" s="24">
        <v>7749518.6799999997</v>
      </c>
      <c r="G21" s="95"/>
      <c r="H21" s="24">
        <v>0</v>
      </c>
      <c r="J21" s="24">
        <f>SUM(F21:I21)</f>
        <v>7749518.6799999997</v>
      </c>
      <c r="L21" s="24"/>
      <c r="M21" s="24"/>
      <c r="N21" s="24">
        <v>0</v>
      </c>
      <c r="O21" s="24"/>
      <c r="P21" s="24">
        <v>-431487.6</v>
      </c>
      <c r="Q21" s="24"/>
      <c r="R21" s="24">
        <f>+L21+N21+P21</f>
        <v>-431487.6</v>
      </c>
      <c r="S21" s="24"/>
      <c r="T21" s="24"/>
      <c r="U21" s="24">
        <f>+J21+R21</f>
        <v>7318031.0800000001</v>
      </c>
      <c r="V21" s="24"/>
      <c r="W21" s="24">
        <v>0</v>
      </c>
      <c r="X21" s="24"/>
      <c r="Y21" s="24">
        <v>0</v>
      </c>
      <c r="Z21" s="24"/>
      <c r="AA21" s="24">
        <v>0</v>
      </c>
      <c r="AC21" s="24">
        <f t="shared" ref="AC21" si="1">+U21+W21+Y21+AA21</f>
        <v>7318031.0800000001</v>
      </c>
    </row>
    <row r="22" spans="1:31">
      <c r="A22" s="8"/>
      <c r="D22" s="5"/>
      <c r="E22" s="96"/>
      <c r="F22" s="24"/>
      <c r="G22" s="96"/>
      <c r="H22" s="24"/>
    </row>
    <row r="23" spans="1:31">
      <c r="A23" s="8">
        <v>4</v>
      </c>
      <c r="D23" s="94" t="s">
        <v>430</v>
      </c>
      <c r="E23" s="95"/>
      <c r="F23" s="24">
        <v>1322508.8</v>
      </c>
      <c r="G23" s="95"/>
      <c r="H23" s="24">
        <v>-439261.5</v>
      </c>
      <c r="J23" s="24">
        <f>SUM(F23:I23)</f>
        <v>883247.3</v>
      </c>
      <c r="L23" s="24"/>
      <c r="M23" s="24"/>
      <c r="N23" s="24">
        <v>0</v>
      </c>
      <c r="O23" s="24"/>
      <c r="P23" s="24">
        <v>91606</v>
      </c>
      <c r="Q23" s="24"/>
      <c r="R23" s="24">
        <f>+L23+N23+P23</f>
        <v>91606</v>
      </c>
      <c r="S23" s="24"/>
      <c r="T23" s="24"/>
      <c r="U23" s="24">
        <f>+J23+R23</f>
        <v>974853.3</v>
      </c>
      <c r="V23" s="24"/>
      <c r="W23" s="24">
        <v>0</v>
      </c>
      <c r="X23" s="24"/>
      <c r="Y23" s="24">
        <v>0</v>
      </c>
      <c r="Z23" s="24"/>
      <c r="AA23" s="24">
        <v>0</v>
      </c>
      <c r="AC23" s="24">
        <f t="shared" ref="AC23" si="2">+U23+W23+Y23+AA23</f>
        <v>974853.3</v>
      </c>
      <c r="AE23" s="54"/>
    </row>
    <row r="24" spans="1:31">
      <c r="A24" s="8"/>
      <c r="D24" s="5"/>
      <c r="E24" s="96"/>
      <c r="F24" s="24"/>
      <c r="G24" s="96"/>
      <c r="H24" s="24"/>
      <c r="I24" s="62"/>
      <c r="J24" s="65"/>
      <c r="K24" s="62"/>
      <c r="L24" s="65"/>
      <c r="M24" s="62"/>
      <c r="N24" s="65"/>
      <c r="O24" s="65"/>
      <c r="P24" s="65"/>
      <c r="Q24" s="62"/>
      <c r="R24" s="65"/>
      <c r="S24" s="65"/>
      <c r="T24" s="63"/>
      <c r="U24" s="65"/>
      <c r="V24" s="62"/>
      <c r="W24" s="65"/>
      <c r="X24" s="62"/>
      <c r="Y24" s="65"/>
      <c r="Z24" s="62"/>
      <c r="AA24" s="65"/>
      <c r="AB24" s="65"/>
      <c r="AC24" s="65"/>
      <c r="AE24" s="54"/>
    </row>
    <row r="25" spans="1:31">
      <c r="A25" s="8">
        <v>5</v>
      </c>
      <c r="D25" s="94" t="s">
        <v>431</v>
      </c>
      <c r="F25" s="24">
        <v>40349931.18</v>
      </c>
      <c r="G25" s="95"/>
      <c r="H25" s="24">
        <v>0</v>
      </c>
      <c r="J25" s="24">
        <f>F25+H25</f>
        <v>40349931.18</v>
      </c>
      <c r="L25" s="24"/>
      <c r="M25" s="24"/>
      <c r="N25" s="24">
        <v>0</v>
      </c>
      <c r="O25" s="24"/>
      <c r="P25" s="24">
        <f>32998000-10478275.88</f>
        <v>22519724.119999997</v>
      </c>
      <c r="Q25" s="24"/>
      <c r="R25" s="24">
        <f>N25+P25</f>
        <v>22519724.119999997</v>
      </c>
      <c r="S25" s="24"/>
      <c r="T25" s="24"/>
      <c r="U25" s="24">
        <f>+J25+R25</f>
        <v>62869655.299999997</v>
      </c>
      <c r="V25" s="24"/>
      <c r="W25" s="24">
        <v>0</v>
      </c>
      <c r="X25" s="24"/>
      <c r="Y25" s="24">
        <v>0</v>
      </c>
      <c r="Z25" s="24"/>
      <c r="AA25" s="24">
        <v>0</v>
      </c>
      <c r="AC25" s="24">
        <f t="shared" ref="AC25" si="3">+U25+W25+Y25+AA25</f>
        <v>62869655.299999997</v>
      </c>
      <c r="AE25" s="54"/>
    </row>
    <row r="26" spans="1:31">
      <c r="A26" s="8"/>
      <c r="D26" s="94"/>
      <c r="F26" s="24"/>
      <c r="G26" s="95"/>
      <c r="H26" s="24"/>
      <c r="J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C26" s="24"/>
      <c r="AE26" s="54"/>
    </row>
    <row r="27" spans="1:31">
      <c r="A27" s="8">
        <v>6</v>
      </c>
      <c r="D27" s="94" t="s">
        <v>432</v>
      </c>
      <c r="F27" s="24">
        <v>22867051.84</v>
      </c>
      <c r="G27" s="95"/>
      <c r="H27" s="24">
        <v>0</v>
      </c>
      <c r="J27" s="24">
        <f>F27+H27</f>
        <v>22867051.84</v>
      </c>
      <c r="L27" s="24"/>
      <c r="M27" s="24"/>
      <c r="N27" s="24">
        <v>0</v>
      </c>
      <c r="O27" s="24"/>
      <c r="P27" s="24">
        <v>-3811175.28</v>
      </c>
      <c r="Q27" s="24"/>
      <c r="R27" s="24">
        <f>N27+P27</f>
        <v>-3811175.28</v>
      </c>
      <c r="S27" s="24"/>
      <c r="T27" s="24"/>
      <c r="U27" s="24">
        <f>+J27+R27</f>
        <v>19055876.559999999</v>
      </c>
      <c r="V27" s="24"/>
      <c r="W27" s="24">
        <v>0</v>
      </c>
      <c r="X27" s="24"/>
      <c r="Y27" s="24">
        <v>0</v>
      </c>
      <c r="Z27" s="24"/>
      <c r="AA27" s="24">
        <v>0</v>
      </c>
      <c r="AC27" s="24">
        <f t="shared" ref="AC27" si="4">+U27+W27+Y27+AA27</f>
        <v>19055876.559999999</v>
      </c>
      <c r="AE27" s="129"/>
    </row>
    <row r="28" spans="1:31">
      <c r="A28" s="8"/>
      <c r="D28" s="94"/>
      <c r="F28" s="24"/>
      <c r="G28" s="95"/>
      <c r="H28" s="24"/>
      <c r="J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>
        <v>0</v>
      </c>
      <c r="X28" s="24"/>
      <c r="Y28" s="24"/>
      <c r="Z28" s="24"/>
      <c r="AA28" s="24">
        <v>0</v>
      </c>
      <c r="AC28" s="24"/>
    </row>
    <row r="29" spans="1:31">
      <c r="A29" s="8">
        <v>7</v>
      </c>
      <c r="D29" s="94" t="s">
        <v>433</v>
      </c>
      <c r="F29" s="24">
        <v>635220.68000000005</v>
      </c>
      <c r="G29" s="95"/>
      <c r="H29" s="24">
        <v>0</v>
      </c>
      <c r="J29" s="24">
        <f t="shared" ref="J29" si="5">F29+H29</f>
        <v>635220.68000000005</v>
      </c>
      <c r="L29" s="24"/>
      <c r="M29" s="24"/>
      <c r="N29" s="24"/>
      <c r="O29" s="24"/>
      <c r="P29" s="24">
        <v>386557.6</v>
      </c>
      <c r="Q29" s="24"/>
      <c r="R29" s="24">
        <f>N29+P29</f>
        <v>386557.6</v>
      </c>
      <c r="S29" s="24"/>
      <c r="T29" s="24"/>
      <c r="U29" s="24">
        <f t="shared" ref="U29:U33" si="6">+J29+R29</f>
        <v>1021778.28</v>
      </c>
      <c r="V29" s="24"/>
      <c r="W29" s="24">
        <v>0</v>
      </c>
      <c r="X29" s="24"/>
      <c r="Y29" s="24">
        <v>0</v>
      </c>
      <c r="Z29" s="24"/>
      <c r="AA29" s="24">
        <v>0</v>
      </c>
      <c r="AC29" s="24">
        <f>+U29+W29+Y29+AA29</f>
        <v>1021778.28</v>
      </c>
      <c r="AE29" s="129"/>
    </row>
    <row r="30" spans="1:31">
      <c r="A30" s="8"/>
      <c r="F30" s="24"/>
      <c r="G30" s="24"/>
      <c r="H30" s="24"/>
      <c r="J30" s="24"/>
      <c r="L30" s="24"/>
      <c r="N30" s="24"/>
      <c r="O30" s="24"/>
      <c r="P30" s="24"/>
      <c r="R30" s="24"/>
      <c r="S30" s="24"/>
      <c r="U30" s="24"/>
      <c r="V30" s="24"/>
      <c r="W30" s="24"/>
      <c r="AA30" s="24"/>
      <c r="AC30" s="24"/>
    </row>
    <row r="31" spans="1:31">
      <c r="A31" s="8">
        <v>8</v>
      </c>
      <c r="D31" s="94" t="s">
        <v>434</v>
      </c>
      <c r="F31" s="24">
        <v>51057.27</v>
      </c>
      <c r="G31" s="95"/>
      <c r="H31" s="24">
        <v>0</v>
      </c>
      <c r="J31" s="24">
        <f>F31+H31</f>
        <v>51057.27</v>
      </c>
      <c r="L31" s="24"/>
      <c r="M31" s="24"/>
      <c r="N31" s="24"/>
      <c r="O31" s="24"/>
      <c r="P31" s="24">
        <f>2829.8-53887.07</f>
        <v>-51057.27</v>
      </c>
      <c r="Q31" s="24"/>
      <c r="R31" s="24">
        <f>N31+P31</f>
        <v>-51057.27</v>
      </c>
      <c r="S31" s="24"/>
      <c r="T31" s="24"/>
      <c r="U31" s="24">
        <f t="shared" si="6"/>
        <v>0</v>
      </c>
      <c r="V31" s="24"/>
      <c r="W31" s="24"/>
      <c r="X31" s="24"/>
      <c r="Y31" s="24">
        <v>0</v>
      </c>
      <c r="Z31" s="24"/>
      <c r="AA31" s="24"/>
      <c r="AC31" s="24">
        <f>+U31+W31+Y31+AA31</f>
        <v>0</v>
      </c>
    </row>
    <row r="32" spans="1:31">
      <c r="A32" s="8"/>
      <c r="F32" s="24"/>
      <c r="G32" s="24"/>
      <c r="H32" s="24"/>
      <c r="J32" s="24"/>
      <c r="L32" s="24"/>
      <c r="N32" s="24"/>
      <c r="O32" s="24"/>
      <c r="P32" s="24"/>
      <c r="R32" s="24"/>
      <c r="S32" s="24"/>
      <c r="U32" s="24"/>
      <c r="V32" s="24"/>
      <c r="W32" s="24"/>
      <c r="AA32" s="24"/>
      <c r="AC32" s="24"/>
    </row>
    <row r="33" spans="1:29">
      <c r="A33" s="8">
        <v>9</v>
      </c>
      <c r="D33" s="94" t="s">
        <v>435</v>
      </c>
      <c r="F33" s="24">
        <v>230036.89</v>
      </c>
      <c r="G33" s="95"/>
      <c r="H33" s="24">
        <v>0</v>
      </c>
      <c r="J33" s="24">
        <f>F33+H33</f>
        <v>230036.89</v>
      </c>
      <c r="L33" s="24"/>
      <c r="M33" s="24"/>
      <c r="N33" s="24"/>
      <c r="O33" s="24"/>
      <c r="P33" s="24">
        <v>-38339.519999999997</v>
      </c>
      <c r="Q33" s="24"/>
      <c r="R33" s="24">
        <f>N33+P33</f>
        <v>-38339.519999999997</v>
      </c>
      <c r="S33" s="24"/>
      <c r="T33" s="24"/>
      <c r="U33" s="24">
        <f t="shared" si="6"/>
        <v>191697.37000000002</v>
      </c>
      <c r="V33" s="24"/>
      <c r="W33" s="24"/>
      <c r="X33" s="24"/>
      <c r="Y33" s="24">
        <v>0</v>
      </c>
      <c r="Z33" s="24"/>
      <c r="AA33" s="24"/>
      <c r="AC33" s="24">
        <f>+U33+W33+Y33+AA33</f>
        <v>191697.37000000002</v>
      </c>
    </row>
    <row r="34" spans="1:29">
      <c r="A34" s="8"/>
      <c r="F34" s="24"/>
      <c r="G34" s="24"/>
      <c r="H34" s="24"/>
      <c r="J34" s="24"/>
      <c r="L34" s="24"/>
      <c r="N34" s="24"/>
      <c r="O34" s="24"/>
      <c r="P34" s="24"/>
      <c r="R34" s="24"/>
      <c r="S34" s="24"/>
      <c r="U34" s="24"/>
      <c r="V34" s="24"/>
      <c r="W34" s="24"/>
      <c r="AA34" s="24"/>
      <c r="AC34" s="24"/>
    </row>
    <row r="35" spans="1:29">
      <c r="A35" s="8"/>
      <c r="B35" s="21" t="s">
        <v>436</v>
      </c>
      <c r="F35" s="24"/>
      <c r="G35" s="24"/>
      <c r="H35" s="24"/>
      <c r="J35" s="24"/>
      <c r="L35" s="24"/>
      <c r="N35" s="24"/>
      <c r="O35" s="24"/>
      <c r="P35" s="24"/>
      <c r="R35" s="24"/>
      <c r="S35" s="24"/>
      <c r="U35" s="24"/>
      <c r="V35" s="24"/>
      <c r="W35" s="24"/>
      <c r="Y35" s="24"/>
      <c r="AA35" s="24"/>
      <c r="AC35" s="24"/>
    </row>
    <row r="36" spans="1:29">
      <c r="A36" s="8"/>
      <c r="F36" s="24"/>
      <c r="G36" s="24"/>
      <c r="H36" s="24"/>
      <c r="J36" s="24"/>
      <c r="L36" s="24"/>
      <c r="N36" s="24"/>
      <c r="O36" s="24"/>
      <c r="P36" s="24"/>
      <c r="R36" s="24"/>
      <c r="S36" s="24"/>
      <c r="U36" s="24"/>
      <c r="V36" s="24"/>
      <c r="W36" s="24"/>
      <c r="Y36" s="24"/>
      <c r="AA36" s="24"/>
      <c r="AC36" s="24"/>
    </row>
    <row r="37" spans="1:29">
      <c r="A37" s="8"/>
      <c r="C37" s="1" t="s">
        <v>427</v>
      </c>
      <c r="F37" s="24"/>
      <c r="G37" s="24"/>
      <c r="H37" s="24"/>
      <c r="J37" s="24"/>
      <c r="L37" s="24"/>
      <c r="N37" s="24"/>
      <c r="O37" s="24"/>
      <c r="P37" s="24"/>
      <c r="R37" s="24"/>
      <c r="S37" s="24"/>
      <c r="U37" s="24"/>
      <c r="V37" s="24"/>
      <c r="W37" s="24"/>
      <c r="Y37" s="24"/>
      <c r="AA37" s="24"/>
      <c r="AC37" s="24"/>
    </row>
    <row r="38" spans="1:29">
      <c r="A38" s="8"/>
      <c r="F38" s="24"/>
      <c r="G38" s="24"/>
      <c r="H38" s="24"/>
      <c r="J38" s="24"/>
      <c r="L38" s="24"/>
      <c r="N38" s="24"/>
      <c r="O38" s="24"/>
      <c r="P38" s="24"/>
      <c r="R38" s="24"/>
      <c r="S38" s="24"/>
      <c r="U38" s="24"/>
      <c r="V38" s="24"/>
      <c r="W38" s="24"/>
      <c r="Y38" s="24"/>
      <c r="AA38" s="24"/>
      <c r="AC38" s="24"/>
    </row>
    <row r="39" spans="1:29">
      <c r="A39" s="8">
        <v>10</v>
      </c>
      <c r="D39" s="52" t="s">
        <v>437</v>
      </c>
      <c r="E39" s="125"/>
      <c r="F39" s="24">
        <v>37450.340000000004</v>
      </c>
      <c r="G39" s="125"/>
      <c r="H39" s="24">
        <v>0</v>
      </c>
      <c r="J39" s="24">
        <f>SUM(F39:I39)</f>
        <v>37450.340000000004</v>
      </c>
      <c r="L39" s="24"/>
      <c r="M39" s="24"/>
      <c r="N39" s="24">
        <v>0</v>
      </c>
      <c r="O39" s="24"/>
      <c r="P39" s="24">
        <v>-37450.339999999997</v>
      </c>
      <c r="Q39" s="24"/>
      <c r="R39" s="24">
        <f>+L39+N39+P39</f>
        <v>-37450.339999999997</v>
      </c>
      <c r="S39" s="24"/>
      <c r="T39" s="24"/>
      <c r="U39" s="24">
        <f>+J39+R39</f>
        <v>0</v>
      </c>
      <c r="V39" s="24"/>
      <c r="W39" s="24">
        <v>0</v>
      </c>
      <c r="X39" s="24"/>
      <c r="Y39" s="24">
        <v>0</v>
      </c>
      <c r="Z39" s="24"/>
      <c r="AA39" s="24">
        <v>0</v>
      </c>
      <c r="AB39" s="24"/>
      <c r="AC39" s="24">
        <f t="shared" ref="AC39" si="7">+U39+W39+Y39+AA39</f>
        <v>0</v>
      </c>
    </row>
    <row r="40" spans="1:29">
      <c r="A40" s="8"/>
      <c r="D40" s="52"/>
      <c r="E40" s="125"/>
      <c r="F40" s="24"/>
      <c r="G40" s="125"/>
      <c r="H40" s="24"/>
      <c r="J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>
      <c r="A41" s="8">
        <v>11</v>
      </c>
      <c r="D41" s="94" t="s">
        <v>438</v>
      </c>
      <c r="F41" s="24">
        <v>26621.23</v>
      </c>
      <c r="G41" s="95"/>
      <c r="H41" s="24">
        <v>0</v>
      </c>
      <c r="J41" s="24">
        <f>F41+H41</f>
        <v>26621.23</v>
      </c>
      <c r="L41" s="24"/>
      <c r="M41" s="24"/>
      <c r="N41" s="24"/>
      <c r="O41" s="24"/>
      <c r="P41" s="24">
        <v>-26621.23</v>
      </c>
      <c r="Q41" s="24"/>
      <c r="R41" s="24">
        <f>N41+P41</f>
        <v>-26621.23</v>
      </c>
      <c r="S41" s="24"/>
      <c r="T41" s="24"/>
      <c r="U41" s="24">
        <f t="shared" ref="U41" si="8">+J41+R41</f>
        <v>0</v>
      </c>
      <c r="V41" s="24"/>
      <c r="W41" s="24"/>
      <c r="X41" s="24"/>
      <c r="Y41" s="24">
        <v>0</v>
      </c>
      <c r="Z41" s="24"/>
      <c r="AA41" s="24"/>
      <c r="AC41" s="24">
        <f>+U41+W41+Y41+AA41</f>
        <v>0</v>
      </c>
    </row>
    <row r="42" spans="1:29">
      <c r="A42" s="8"/>
      <c r="D42" s="94"/>
      <c r="E42" s="125"/>
      <c r="F42" s="24"/>
      <c r="G42" s="125"/>
      <c r="H42" s="24"/>
      <c r="J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>
      <c r="A43" s="8">
        <v>12</v>
      </c>
      <c r="D43" s="94" t="s">
        <v>439</v>
      </c>
      <c r="E43" s="95"/>
      <c r="F43" s="24">
        <v>432473.52</v>
      </c>
      <c r="G43" s="95"/>
      <c r="H43" s="24">
        <v>0</v>
      </c>
      <c r="J43" s="24">
        <f>SUM(F43:I43)</f>
        <v>432473.52</v>
      </c>
      <c r="L43" s="24"/>
      <c r="M43" s="24"/>
      <c r="N43" s="24">
        <v>0</v>
      </c>
      <c r="O43" s="24"/>
      <c r="P43" s="24">
        <v>-39315.72</v>
      </c>
      <c r="Q43" s="24"/>
      <c r="R43" s="24">
        <f>N43+P43</f>
        <v>-39315.72</v>
      </c>
      <c r="S43" s="24"/>
      <c r="T43" s="24"/>
      <c r="U43" s="24">
        <f>+J43+R43</f>
        <v>393157.80000000005</v>
      </c>
      <c r="V43" s="24"/>
      <c r="W43" s="24">
        <v>0</v>
      </c>
      <c r="X43" s="24"/>
      <c r="Y43" s="24">
        <v>0</v>
      </c>
      <c r="Z43" s="24"/>
      <c r="AA43" s="24">
        <v>0</v>
      </c>
      <c r="AB43" s="24"/>
      <c r="AC43" s="24">
        <f t="shared" ref="AC43" si="9">+U43+W43+Y43+AA43</f>
        <v>393157.80000000005</v>
      </c>
    </row>
    <row r="44" spans="1:29">
      <c r="A44" s="8"/>
      <c r="D44" s="94"/>
      <c r="E44" s="95"/>
      <c r="F44" s="24"/>
      <c r="G44" s="95"/>
      <c r="H44" s="24"/>
      <c r="J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29">
      <c r="A45" s="8">
        <v>13</v>
      </c>
      <c r="D45" s="94" t="s">
        <v>440</v>
      </c>
      <c r="E45" s="95"/>
      <c r="F45" s="24">
        <f>324945.92-274489.55</f>
        <v>50456.369999999995</v>
      </c>
      <c r="G45" s="95"/>
      <c r="H45" s="24">
        <v>0</v>
      </c>
      <c r="J45" s="24">
        <f>SUM(F45:I45)</f>
        <v>50456.369999999995</v>
      </c>
      <c r="L45" s="24"/>
      <c r="M45" s="24"/>
      <c r="N45" s="24">
        <v>0</v>
      </c>
      <c r="O45" s="24"/>
      <c r="P45" s="24">
        <f>-18361.46-25685.14</f>
        <v>-44046.6</v>
      </c>
      <c r="Q45" s="24"/>
      <c r="R45" s="24">
        <f>+L45+N45+P45</f>
        <v>-44046.6</v>
      </c>
      <c r="S45" s="24"/>
      <c r="T45" s="24"/>
      <c r="U45" s="24">
        <f>+J45+R45</f>
        <v>6409.7699999999968</v>
      </c>
      <c r="V45" s="24"/>
      <c r="W45" s="24">
        <v>0</v>
      </c>
      <c r="X45" s="24"/>
      <c r="Y45" s="24">
        <v>0</v>
      </c>
      <c r="Z45" s="24"/>
      <c r="AA45" s="24">
        <v>0</v>
      </c>
      <c r="AB45" s="24"/>
      <c r="AC45" s="24">
        <f t="shared" ref="AC45" si="10">+U45+W45+Y45+AA45</f>
        <v>6409.7699999999968</v>
      </c>
    </row>
    <row r="46" spans="1:29">
      <c r="A46" s="8"/>
      <c r="D46" s="94"/>
      <c r="E46" s="95"/>
      <c r="F46" s="24"/>
      <c r="G46" s="95"/>
      <c r="H46" s="24"/>
      <c r="J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29">
      <c r="A47" s="8">
        <v>14</v>
      </c>
      <c r="D47" s="94" t="s">
        <v>441</v>
      </c>
      <c r="E47" s="36"/>
      <c r="F47" s="24">
        <v>7230553.8799999999</v>
      </c>
      <c r="G47" s="24"/>
      <c r="H47" s="24">
        <v>0</v>
      </c>
      <c r="J47" s="24">
        <f>SUM(F47:I47)</f>
        <v>7230553.8799999999</v>
      </c>
      <c r="L47" s="24"/>
      <c r="M47" s="24"/>
      <c r="N47" s="24">
        <v>0</v>
      </c>
      <c r="O47" s="24"/>
      <c r="P47" s="24">
        <f>377710-243991</f>
        <v>133719</v>
      </c>
      <c r="Q47" s="24"/>
      <c r="R47" s="24">
        <f>+L47+N47+P47</f>
        <v>133719</v>
      </c>
      <c r="S47" s="24"/>
      <c r="T47" s="24"/>
      <c r="U47" s="24">
        <f>+J47+R47</f>
        <v>7364272.8799999999</v>
      </c>
      <c r="V47" s="24"/>
      <c r="W47" s="24">
        <v>0</v>
      </c>
      <c r="X47" s="24"/>
      <c r="Y47" s="24">
        <v>0</v>
      </c>
      <c r="Z47" s="24"/>
      <c r="AA47" s="24">
        <v>0</v>
      </c>
      <c r="AC47" s="24">
        <f t="shared" ref="AC47" si="11">+U47+W47+Y47+AA47</f>
        <v>7364272.8799999999</v>
      </c>
    </row>
    <row r="48" spans="1:29">
      <c r="A48" s="8"/>
      <c r="D48" s="94"/>
      <c r="E48" s="36"/>
      <c r="F48" s="24"/>
      <c r="G48" s="24"/>
      <c r="H48" s="24"/>
      <c r="J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C48" s="24"/>
    </row>
    <row r="49" spans="1:29">
      <c r="A49" s="8">
        <v>15</v>
      </c>
      <c r="D49" s="94" t="s">
        <v>442</v>
      </c>
      <c r="F49" s="24">
        <v>749225.21</v>
      </c>
      <c r="G49" s="95"/>
      <c r="H49" s="24">
        <v>0</v>
      </c>
      <c r="J49" s="24">
        <f>F49+H49</f>
        <v>749225.21</v>
      </c>
      <c r="L49" s="24" t="s">
        <v>24</v>
      </c>
      <c r="M49" s="24"/>
      <c r="N49" s="24">
        <v>0</v>
      </c>
      <c r="O49" s="24"/>
      <c r="P49" s="24">
        <v>0</v>
      </c>
      <c r="Q49" s="24"/>
      <c r="R49" s="24">
        <f>N49+P49</f>
        <v>0</v>
      </c>
      <c r="S49" s="24"/>
      <c r="T49" s="24"/>
      <c r="U49" s="24">
        <f>+J49+R49</f>
        <v>749225.21</v>
      </c>
      <c r="V49" s="24"/>
      <c r="W49" s="24">
        <v>0</v>
      </c>
      <c r="X49" s="24"/>
      <c r="Y49" s="24">
        <v>0</v>
      </c>
      <c r="Z49" s="24"/>
      <c r="AA49" s="24">
        <v>0</v>
      </c>
      <c r="AC49" s="24">
        <f t="shared" ref="AC49" si="12">+U49+W49+Y49+AA49</f>
        <v>749225.21</v>
      </c>
    </row>
    <row r="50" spans="1:29">
      <c r="A50" s="8"/>
      <c r="D50" s="52"/>
      <c r="E50" s="125"/>
      <c r="F50" s="24"/>
      <c r="G50" s="125"/>
      <c r="H50" s="24"/>
      <c r="J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29">
      <c r="A51" s="8"/>
      <c r="C51" s="1" t="s">
        <v>443</v>
      </c>
      <c r="D51" s="94"/>
      <c r="E51" s="36"/>
      <c r="F51" s="24"/>
      <c r="G51" s="24"/>
      <c r="H51" s="24"/>
      <c r="J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C51" s="24"/>
    </row>
    <row r="52" spans="1:29">
      <c r="A52" s="8"/>
      <c r="D52" s="94"/>
      <c r="E52" s="36"/>
      <c r="F52" s="24"/>
      <c r="G52" s="24"/>
      <c r="H52" s="24"/>
      <c r="J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C52" s="24"/>
    </row>
    <row r="53" spans="1:29">
      <c r="A53" s="8">
        <v>16</v>
      </c>
      <c r="D53" s="94" t="s">
        <v>444</v>
      </c>
      <c r="E53" s="95"/>
      <c r="F53" s="24">
        <v>-2526864</v>
      </c>
      <c r="G53" s="95"/>
      <c r="H53" s="24">
        <v>0</v>
      </c>
      <c r="J53" s="24">
        <f>SUM(F53:I53)</f>
        <v>-2526864</v>
      </c>
      <c r="L53" s="24" t="s">
        <v>24</v>
      </c>
      <c r="M53" s="24"/>
      <c r="N53" s="24">
        <v>0</v>
      </c>
      <c r="O53" s="24"/>
      <c r="P53" s="24">
        <v>0</v>
      </c>
      <c r="Q53" s="24"/>
      <c r="R53" s="24">
        <f>+N53+P53</f>
        <v>0</v>
      </c>
      <c r="S53" s="24"/>
      <c r="T53" s="24"/>
      <c r="U53" s="24">
        <f>+J53+R53</f>
        <v>-2526864</v>
      </c>
      <c r="V53" s="24"/>
      <c r="W53" s="24">
        <v>0</v>
      </c>
      <c r="X53" s="24"/>
      <c r="Y53" s="24">
        <v>0</v>
      </c>
      <c r="Z53" s="24"/>
      <c r="AA53" s="24">
        <v>0</v>
      </c>
      <c r="AB53" s="24"/>
      <c r="AC53" s="24">
        <f t="shared" ref="AC53" si="13">+U53+W53+Y53+AA53</f>
        <v>-2526864</v>
      </c>
    </row>
    <row r="54" spans="1:29">
      <c r="A54" s="8"/>
      <c r="F54" s="24"/>
      <c r="G54" s="24"/>
      <c r="H54" s="24"/>
      <c r="J54" s="24"/>
      <c r="L54" s="24"/>
      <c r="N54" s="24"/>
      <c r="O54" s="24"/>
      <c r="P54" s="24"/>
      <c r="R54" s="24"/>
      <c r="S54" s="24"/>
      <c r="U54" s="24"/>
      <c r="V54" s="24"/>
      <c r="W54" s="24"/>
      <c r="Y54" s="24"/>
      <c r="AA54" s="24"/>
      <c r="AC54" s="24"/>
    </row>
    <row r="55" spans="1:29">
      <c r="A55" s="8"/>
      <c r="B55" s="8"/>
      <c r="C55" s="8"/>
      <c r="D55" s="21"/>
      <c r="E55" s="21"/>
      <c r="F55" s="15"/>
      <c r="G55" s="15"/>
      <c r="H55" s="15"/>
      <c r="J55" s="15"/>
      <c r="L55" s="15"/>
      <c r="N55" s="15"/>
      <c r="O55" s="15"/>
      <c r="P55" s="15"/>
      <c r="R55" s="15"/>
      <c r="S55" s="15"/>
      <c r="U55" s="15"/>
      <c r="V55" s="15"/>
      <c r="W55" s="15"/>
      <c r="Y55" s="15"/>
      <c r="AA55" s="15"/>
      <c r="AC55" s="15"/>
    </row>
    <row r="56" spans="1:29" ht="18.75" thickBot="1">
      <c r="A56" s="8">
        <v>17</v>
      </c>
      <c r="B56" s="8"/>
      <c r="C56" s="8"/>
      <c r="D56" s="94" t="s">
        <v>445</v>
      </c>
      <c r="E56" s="36"/>
      <c r="F56" s="42">
        <f>SUM(F15:F55)</f>
        <v>90779506.549999997</v>
      </c>
      <c r="G56" s="19"/>
      <c r="H56" s="42">
        <f>SUM(H15:H55)</f>
        <v>-439261.5</v>
      </c>
      <c r="J56" s="42">
        <f>SUM(J15:J55)</f>
        <v>90340245.049999997</v>
      </c>
      <c r="L56" s="19"/>
      <c r="N56" s="42">
        <f>SUM(N15:N55)</f>
        <v>0</v>
      </c>
      <c r="O56" s="19"/>
      <c r="P56" s="42">
        <f>SUM(P15:P55)</f>
        <v>17997820.899999999</v>
      </c>
      <c r="R56" s="42">
        <f>SUM(R15:R55)</f>
        <v>17997820.899999999</v>
      </c>
      <c r="S56" s="31" t="s">
        <v>446</v>
      </c>
      <c r="U56" s="42">
        <f>SUM(U15:U55)</f>
        <v>108338065.94999999</v>
      </c>
      <c r="V56" s="19">
        <f>SUM(V15:V55)</f>
        <v>0</v>
      </c>
      <c r="W56" s="42">
        <f>SUM(W15:W55)</f>
        <v>0</v>
      </c>
      <c r="Y56" s="42">
        <f>SUM(Y15:Y55)</f>
        <v>0</v>
      </c>
      <c r="AA56" s="42">
        <f>SUM(AA15:AA55)</f>
        <v>0</v>
      </c>
      <c r="AC56" s="42">
        <f>SUM(AC15:AC55)</f>
        <v>108338065.94999999</v>
      </c>
    </row>
    <row r="57" spans="1:29" ht="13.5" thickTop="1">
      <c r="A57" s="8"/>
      <c r="B57" s="8"/>
      <c r="C57" s="47"/>
      <c r="D57" s="47"/>
    </row>
    <row r="58" spans="1:29">
      <c r="P58" s="1" t="s">
        <v>447</v>
      </c>
    </row>
  </sheetData>
  <mergeCells count="4">
    <mergeCell ref="A1:AC1"/>
    <mergeCell ref="A2:AC2"/>
    <mergeCell ref="A3:AC3"/>
    <mergeCell ref="L7:P7"/>
  </mergeCells>
  <phoneticPr fontId="0" type="noConversion"/>
  <printOptions horizontalCentered="1"/>
  <pageMargins left="1" right="1" top="1" bottom="1" header="0.3" footer="0.3"/>
  <pageSetup scale="53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0425-C7ED-485F-9413-A72792BB0B21}">
  <sheetPr>
    <pageSetUpPr fitToPage="1"/>
  </sheetPr>
  <dimension ref="A1:AD71"/>
  <sheetViews>
    <sheetView zoomScale="80" zoomScaleNormal="80" zoomScalePageLayoutView="70" workbookViewId="0">
      <selection activeCell="C42" sqref="C42"/>
    </sheetView>
  </sheetViews>
  <sheetFormatPr defaultColWidth="9.125" defaultRowHeight="12.75"/>
  <cols>
    <col min="1" max="1" width="8.5" style="142" customWidth="1"/>
    <col min="2" max="2" width="2.125" style="142" customWidth="1"/>
    <col min="3" max="3" width="61.375" style="142" customWidth="1"/>
    <col min="4" max="4" width="2.125" style="142" customWidth="1"/>
    <col min="5" max="5" width="18.5" style="142" bestFit="1" customWidth="1"/>
    <col min="6" max="6" width="2.125" style="142" customWidth="1"/>
    <col min="7" max="7" width="17.625" style="142" bestFit="1" customWidth="1"/>
    <col min="8" max="8" width="2.125" style="144" customWidth="1"/>
    <col min="9" max="9" width="16.5" style="142" bestFit="1" customWidth="1"/>
    <col min="10" max="10" width="2.125" style="142" customWidth="1"/>
    <col min="11" max="11" width="9.625" style="142" customWidth="1"/>
    <col min="12" max="12" width="2.125" style="142" customWidth="1"/>
    <col min="13" max="13" width="2.5" style="142" hidden="1" customWidth="1"/>
    <col min="14" max="14" width="3.875" style="142" hidden="1" customWidth="1"/>
    <col min="15" max="15" width="13.875" style="142" bestFit="1" customWidth="1"/>
    <col min="16" max="16" width="2.125" style="142" customWidth="1"/>
    <col min="17" max="17" width="14.875" style="142" bestFit="1" customWidth="1"/>
    <col min="18" max="18" width="2.125" style="142" customWidth="1"/>
    <col min="19" max="19" width="5.625" style="142" bestFit="1" customWidth="1"/>
    <col min="20" max="20" width="2.125" style="142" customWidth="1"/>
    <col min="21" max="21" width="17.625" style="142" bestFit="1" customWidth="1"/>
    <col min="22" max="22" width="2.125" style="142" customWidth="1"/>
    <col min="23" max="23" width="15.375" style="142" hidden="1" customWidth="1"/>
    <col min="24" max="24" width="1.875" style="142" hidden="1" customWidth="1"/>
    <col min="25" max="25" width="15.375" style="142" bestFit="1" customWidth="1"/>
    <col min="26" max="26" width="2.125" style="142" customWidth="1"/>
    <col min="27" max="27" width="13.875" style="142" hidden="1" customWidth="1"/>
    <col min="28" max="28" width="1.875" style="142" hidden="1" customWidth="1"/>
    <col min="29" max="29" width="17.625" style="142" bestFit="1" customWidth="1"/>
    <col min="30" max="30" width="16.5" style="142" bestFit="1" customWidth="1"/>
    <col min="31" max="16384" width="9.125" style="142"/>
  </cols>
  <sheetData>
    <row r="1" spans="1:30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</row>
    <row r="2" spans="1:30">
      <c r="A2" s="238" t="s">
        <v>448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</row>
    <row r="3" spans="1:30">
      <c r="A3" s="238" t="s">
        <v>423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</row>
    <row r="4" spans="1:30">
      <c r="A4" s="143"/>
      <c r="B4" s="143"/>
      <c r="C4" s="143"/>
      <c r="D4" s="143"/>
      <c r="E4" s="143"/>
      <c r="K4" s="143"/>
      <c r="M4" s="143"/>
      <c r="N4" s="143"/>
    </row>
    <row r="5" spans="1:30">
      <c r="A5" s="143"/>
      <c r="B5" s="143"/>
      <c r="C5" s="143"/>
      <c r="D5" s="143"/>
      <c r="E5" s="143"/>
      <c r="K5" s="143"/>
      <c r="M5" s="143"/>
      <c r="N5" s="143"/>
    </row>
    <row r="7" spans="1:30">
      <c r="A7" s="145">
        <v>-1</v>
      </c>
      <c r="B7" s="146"/>
      <c r="C7" s="145">
        <v>-2</v>
      </c>
      <c r="D7" s="145"/>
      <c r="E7" s="145">
        <v>-3</v>
      </c>
      <c r="F7" s="147"/>
      <c r="G7" s="145">
        <v>-4</v>
      </c>
      <c r="H7" s="148"/>
      <c r="I7" s="145">
        <v>-5</v>
      </c>
      <c r="J7" s="145"/>
      <c r="K7" s="145">
        <v>-6</v>
      </c>
      <c r="L7" s="146"/>
      <c r="M7" s="145">
        <v>-7</v>
      </c>
      <c r="N7" s="145"/>
      <c r="O7" s="145">
        <v>-7</v>
      </c>
      <c r="P7" s="146"/>
      <c r="Q7" s="145">
        <v>-8</v>
      </c>
      <c r="R7" s="145"/>
      <c r="S7" s="145">
        <v>-9</v>
      </c>
      <c r="T7" s="145"/>
      <c r="U7" s="145">
        <v>-10</v>
      </c>
      <c r="V7" s="145"/>
      <c r="W7" s="149">
        <v>-13</v>
      </c>
      <c r="X7" s="145"/>
      <c r="Y7" s="145">
        <v>-11</v>
      </c>
      <c r="Z7" s="145"/>
      <c r="AA7" s="145">
        <v>-15</v>
      </c>
      <c r="AB7" s="145"/>
      <c r="AC7" s="145">
        <v>-12</v>
      </c>
      <c r="AD7" s="145"/>
    </row>
    <row r="8" spans="1:30">
      <c r="D8" s="150"/>
      <c r="E8" s="146"/>
      <c r="F8" s="150"/>
      <c r="G8" s="147"/>
      <c r="H8" s="151"/>
      <c r="J8" s="146"/>
      <c r="K8" s="239" t="s">
        <v>3</v>
      </c>
      <c r="L8" s="239"/>
      <c r="M8" s="239"/>
      <c r="N8" s="239"/>
      <c r="O8" s="239"/>
      <c r="P8" s="150"/>
      <c r="Q8" s="147"/>
      <c r="R8" s="147"/>
      <c r="S8" s="147"/>
      <c r="T8" s="150"/>
      <c r="U8" s="152">
        <v>2025</v>
      </c>
      <c r="V8" s="150"/>
      <c r="W8" s="147"/>
      <c r="X8" s="146"/>
      <c r="Y8" s="146"/>
      <c r="Z8" s="146"/>
      <c r="AB8" s="146"/>
    </row>
    <row r="9" spans="1:30">
      <c r="A9" s="150" t="s">
        <v>5</v>
      </c>
      <c r="B9" s="150"/>
      <c r="D9" s="150"/>
      <c r="E9" s="153">
        <v>2024</v>
      </c>
      <c r="F9" s="150"/>
      <c r="G9" s="153">
        <v>2024</v>
      </c>
      <c r="H9" s="148"/>
      <c r="I9" s="153">
        <v>2024</v>
      </c>
      <c r="J9" s="150"/>
      <c r="K9" s="153">
        <v>2024</v>
      </c>
      <c r="L9" s="146"/>
      <c r="M9" s="154" t="s">
        <v>6</v>
      </c>
      <c r="N9" s="154"/>
      <c r="O9" s="154"/>
      <c r="P9" s="150"/>
      <c r="Q9" s="154"/>
      <c r="R9" s="154"/>
      <c r="S9" s="155" t="s">
        <v>7</v>
      </c>
      <c r="T9" s="150"/>
      <c r="U9" s="156" t="s">
        <v>8</v>
      </c>
      <c r="V9" s="150"/>
      <c r="W9" s="154"/>
      <c r="X9" s="150"/>
      <c r="Y9" s="150"/>
      <c r="Z9" s="150"/>
      <c r="AA9" s="150" t="s">
        <v>9</v>
      </c>
      <c r="AB9" s="150"/>
      <c r="AC9" s="146">
        <v>2025</v>
      </c>
      <c r="AD9" s="146"/>
    </row>
    <row r="10" spans="1:30" ht="12" customHeight="1">
      <c r="A10" s="157" t="s">
        <v>10</v>
      </c>
      <c r="B10" s="150"/>
      <c r="C10" s="157" t="s">
        <v>11</v>
      </c>
      <c r="E10" s="158" t="s">
        <v>12</v>
      </c>
      <c r="G10" s="159" t="s">
        <v>13</v>
      </c>
      <c r="H10" s="148"/>
      <c r="I10" s="160" t="s">
        <v>14</v>
      </c>
      <c r="J10" s="150"/>
      <c r="K10" s="160" t="s">
        <v>14</v>
      </c>
      <c r="L10" s="150"/>
      <c r="M10" s="160" t="s">
        <v>15</v>
      </c>
      <c r="N10" s="146"/>
      <c r="O10" s="161" t="s">
        <v>16</v>
      </c>
      <c r="Q10" s="160" t="s">
        <v>17</v>
      </c>
      <c r="R10" s="154"/>
      <c r="S10" s="162" t="s">
        <v>10</v>
      </c>
      <c r="U10" s="161" t="s">
        <v>18</v>
      </c>
      <c r="W10" s="160" t="s">
        <v>19</v>
      </c>
      <c r="X10" s="150"/>
      <c r="Y10" s="157" t="s">
        <v>20</v>
      </c>
      <c r="Z10" s="150"/>
      <c r="AA10" s="157" t="s">
        <v>21</v>
      </c>
      <c r="AB10" s="150"/>
      <c r="AC10" s="157" t="s">
        <v>18</v>
      </c>
      <c r="AD10" s="150"/>
    </row>
    <row r="11" spans="1:30">
      <c r="L11" s="150"/>
      <c r="N11" s="150"/>
    </row>
    <row r="12" spans="1:30">
      <c r="A12" s="163"/>
      <c r="B12" s="164" t="s">
        <v>449</v>
      </c>
      <c r="C12" s="165"/>
      <c r="E12" s="166"/>
      <c r="G12" s="166"/>
      <c r="I12" s="166"/>
      <c r="K12" s="167"/>
      <c r="M12" s="167"/>
    </row>
    <row r="13" spans="1:30">
      <c r="A13" s="163">
        <v>1</v>
      </c>
      <c r="B13" s="165"/>
      <c r="C13" s="168" t="s">
        <v>450</v>
      </c>
      <c r="D13" s="169"/>
      <c r="E13" s="170">
        <v>104155</v>
      </c>
      <c r="F13" s="169"/>
      <c r="G13" s="170">
        <v>-104155</v>
      </c>
      <c r="I13" s="170">
        <f>G13+E13</f>
        <v>0</v>
      </c>
      <c r="K13" s="171" t="s">
        <v>24</v>
      </c>
      <c r="M13" s="170">
        <v>0</v>
      </c>
      <c r="O13" s="170">
        <v>0</v>
      </c>
      <c r="P13" s="169"/>
      <c r="Q13" s="170">
        <f>+M13+O13</f>
        <v>0</v>
      </c>
      <c r="R13" s="170"/>
      <c r="S13" s="170"/>
      <c r="T13" s="169"/>
      <c r="U13" s="170">
        <f>+I13+Q13</f>
        <v>0</v>
      </c>
      <c r="V13" s="169"/>
      <c r="W13" s="170">
        <v>0</v>
      </c>
      <c r="Y13" s="170">
        <v>0</v>
      </c>
      <c r="AA13" s="170">
        <v>0</v>
      </c>
      <c r="AC13" s="170">
        <f>SUM(U13:AA13)</f>
        <v>0</v>
      </c>
      <c r="AD13" s="170"/>
    </row>
    <row r="14" spans="1:30">
      <c r="A14" s="163">
        <f>A13+1</f>
        <v>2</v>
      </c>
      <c r="B14" s="165"/>
      <c r="C14" s="168" t="s">
        <v>451</v>
      </c>
      <c r="D14" s="169"/>
      <c r="E14" s="172">
        <v>2053241</v>
      </c>
      <c r="F14" s="169"/>
      <c r="G14" s="173">
        <v>-2053241</v>
      </c>
      <c r="I14" s="173">
        <f>E14+G14</f>
        <v>0</v>
      </c>
      <c r="K14" s="171" t="s">
        <v>24</v>
      </c>
      <c r="M14" s="170"/>
      <c r="O14" s="173">
        <v>0</v>
      </c>
      <c r="P14" s="169"/>
      <c r="Q14" s="173">
        <f>+M14+O14</f>
        <v>0</v>
      </c>
      <c r="R14" s="170"/>
      <c r="S14" s="170"/>
      <c r="T14" s="169"/>
      <c r="U14" s="173">
        <f>+I14+Q14</f>
        <v>0</v>
      </c>
      <c r="V14" s="169"/>
      <c r="W14" s="170"/>
      <c r="Y14" s="173">
        <v>0</v>
      </c>
      <c r="AA14" s="170"/>
      <c r="AC14" s="173">
        <f>SUM(U14:AA14)</f>
        <v>0</v>
      </c>
      <c r="AD14" s="170"/>
    </row>
    <row r="15" spans="1:30">
      <c r="A15" s="163">
        <f>A14+1</f>
        <v>3</v>
      </c>
      <c r="B15" s="165"/>
      <c r="C15" s="174" t="s">
        <v>452</v>
      </c>
      <c r="E15" s="175">
        <f>SUM(E13:E14)</f>
        <v>2157396</v>
      </c>
      <c r="G15" s="175">
        <f>SUM(G13:G14)</f>
        <v>-2157396</v>
      </c>
      <c r="I15" s="175">
        <f>SUM(I13:I14)</f>
        <v>0</v>
      </c>
      <c r="K15" s="175"/>
      <c r="L15" s="169"/>
      <c r="M15" s="175">
        <f>SUM(M13:M13)</f>
        <v>0</v>
      </c>
      <c r="O15" s="175">
        <f>SUM(O13:O14)</f>
        <v>0</v>
      </c>
      <c r="Q15" s="175">
        <f>SUM(Q13:Q14)</f>
        <v>0</v>
      </c>
      <c r="R15" s="175"/>
      <c r="S15" s="175"/>
      <c r="U15" s="175">
        <f>SUM(U13:U14)</f>
        <v>0</v>
      </c>
      <c r="W15" s="175">
        <f>SUM(W13:W13)</f>
        <v>0</v>
      </c>
      <c r="Y15" s="175">
        <f>SUM(Y13:Y14)</f>
        <v>0</v>
      </c>
      <c r="AA15" s="175">
        <f>SUM(AA13:AA13)</f>
        <v>0</v>
      </c>
      <c r="AC15" s="175">
        <f>SUM(AC13:AC14)</f>
        <v>0</v>
      </c>
      <c r="AD15" s="175"/>
    </row>
    <row r="16" spans="1:30">
      <c r="A16" s="165"/>
      <c r="B16" s="165"/>
      <c r="C16" s="165"/>
      <c r="E16" s="176"/>
      <c r="G16" s="176"/>
      <c r="I16" s="176"/>
      <c r="K16" s="176"/>
      <c r="M16" s="176"/>
      <c r="N16" s="169"/>
      <c r="O16" s="176"/>
      <c r="Q16" s="176"/>
      <c r="R16" s="176"/>
      <c r="S16" s="176"/>
      <c r="U16" s="176"/>
      <c r="W16" s="176"/>
      <c r="Y16" s="176"/>
      <c r="AA16" s="176"/>
      <c r="AC16" s="176"/>
      <c r="AD16" s="176"/>
    </row>
    <row r="17" spans="1:30">
      <c r="A17" s="165"/>
      <c r="B17" s="164" t="s">
        <v>453</v>
      </c>
      <c r="C17" s="165"/>
      <c r="E17" s="176"/>
      <c r="G17" s="176"/>
      <c r="I17" s="176"/>
      <c r="K17" s="176"/>
      <c r="M17" s="176"/>
      <c r="O17" s="176"/>
      <c r="Q17" s="176"/>
      <c r="R17" s="176"/>
      <c r="S17" s="176"/>
      <c r="U17" s="176"/>
      <c r="W17" s="176"/>
      <c r="Y17" s="176"/>
      <c r="AA17" s="176"/>
      <c r="AC17" s="176"/>
      <c r="AD17" s="176"/>
    </row>
    <row r="18" spans="1:30">
      <c r="A18" s="145">
        <f>A15+1</f>
        <v>4</v>
      </c>
      <c r="B18" s="165"/>
      <c r="C18" s="174" t="s">
        <v>454</v>
      </c>
      <c r="E18" s="177">
        <v>153751</v>
      </c>
      <c r="G18" s="175">
        <v>0</v>
      </c>
      <c r="I18" s="175">
        <f>G18+E18</f>
        <v>153751</v>
      </c>
      <c r="K18" s="171" t="s">
        <v>24</v>
      </c>
      <c r="M18" s="175">
        <v>0</v>
      </c>
      <c r="O18" s="175">
        <v>0</v>
      </c>
      <c r="Q18" s="175">
        <f t="shared" ref="Q18:Q39" si="0">+M18+O18</f>
        <v>0</v>
      </c>
      <c r="R18" s="175"/>
      <c r="S18" s="175"/>
      <c r="U18" s="175">
        <f>+I18+Q18</f>
        <v>153751</v>
      </c>
      <c r="W18" s="175">
        <v>0</v>
      </c>
      <c r="Y18" s="175">
        <v>0</v>
      </c>
      <c r="AA18" s="175">
        <v>0</v>
      </c>
      <c r="AC18" s="175">
        <f>+U18+W18+Y18+AA18</f>
        <v>153751</v>
      </c>
      <c r="AD18" s="175"/>
    </row>
    <row r="19" spans="1:30">
      <c r="A19" s="145">
        <f>A18+1</f>
        <v>5</v>
      </c>
      <c r="B19" s="165"/>
      <c r="C19" s="174" t="s">
        <v>455</v>
      </c>
      <c r="E19" s="175">
        <v>204511</v>
      </c>
      <c r="G19" s="175">
        <v>-204511</v>
      </c>
      <c r="I19" s="175">
        <f t="shared" ref="I19:I41" si="1">G19+E19</f>
        <v>0</v>
      </c>
      <c r="K19" s="171" t="s">
        <v>24</v>
      </c>
      <c r="M19" s="175">
        <v>0</v>
      </c>
      <c r="O19" s="175">
        <v>0</v>
      </c>
      <c r="Q19" s="175">
        <f t="shared" si="0"/>
        <v>0</v>
      </c>
      <c r="R19" s="175"/>
      <c r="S19" s="175"/>
      <c r="U19" s="175">
        <f t="shared" ref="U19:U40" si="2">+I19+Q19</f>
        <v>0</v>
      </c>
      <c r="W19" s="175">
        <v>0</v>
      </c>
      <c r="Y19" s="175">
        <v>0</v>
      </c>
      <c r="AA19" s="175">
        <v>0</v>
      </c>
      <c r="AC19" s="175">
        <f t="shared" ref="AC19:AC40" si="3">+U19+W19+Y19+AA19</f>
        <v>0</v>
      </c>
      <c r="AD19" s="175"/>
    </row>
    <row r="20" spans="1:30">
      <c r="A20" s="145">
        <f>A19+1</f>
        <v>6</v>
      </c>
      <c r="B20" s="165"/>
      <c r="C20" s="174" t="s">
        <v>456</v>
      </c>
      <c r="E20" s="175">
        <v>443545</v>
      </c>
      <c r="G20" s="175">
        <v>0</v>
      </c>
      <c r="I20" s="175">
        <f t="shared" si="1"/>
        <v>443545</v>
      </c>
      <c r="K20" s="171" t="s">
        <v>24</v>
      </c>
      <c r="M20" s="175">
        <v>0</v>
      </c>
      <c r="O20" s="175">
        <v>0</v>
      </c>
      <c r="Q20" s="175">
        <f t="shared" si="0"/>
        <v>0</v>
      </c>
      <c r="R20" s="175"/>
      <c r="S20" s="175"/>
      <c r="U20" s="175">
        <f t="shared" si="2"/>
        <v>443545</v>
      </c>
      <c r="W20" s="175">
        <v>0</v>
      </c>
      <c r="Y20" s="175">
        <v>0</v>
      </c>
      <c r="AA20" s="175">
        <v>0</v>
      </c>
      <c r="AC20" s="175">
        <f t="shared" si="3"/>
        <v>443545</v>
      </c>
      <c r="AD20" s="175"/>
    </row>
    <row r="21" spans="1:30">
      <c r="A21" s="145">
        <f>A20+1</f>
        <v>7</v>
      </c>
      <c r="B21" s="165"/>
      <c r="C21" s="174" t="s">
        <v>457</v>
      </c>
      <c r="E21" s="175">
        <v>25581</v>
      </c>
      <c r="G21" s="175">
        <v>0</v>
      </c>
      <c r="I21" s="175">
        <f t="shared" si="1"/>
        <v>25581</v>
      </c>
      <c r="K21" s="171" t="s">
        <v>24</v>
      </c>
      <c r="M21" s="175">
        <v>0</v>
      </c>
      <c r="O21" s="175">
        <v>0</v>
      </c>
      <c r="Q21" s="175">
        <f t="shared" si="0"/>
        <v>0</v>
      </c>
      <c r="R21" s="175"/>
      <c r="S21" s="175"/>
      <c r="U21" s="175">
        <f t="shared" si="2"/>
        <v>25581</v>
      </c>
      <c r="W21" s="175">
        <v>0</v>
      </c>
      <c r="Y21" s="175">
        <v>0</v>
      </c>
      <c r="AA21" s="175">
        <v>0</v>
      </c>
      <c r="AC21" s="175">
        <f t="shared" si="3"/>
        <v>25581</v>
      </c>
      <c r="AD21" s="175"/>
    </row>
    <row r="22" spans="1:30">
      <c r="A22" s="145">
        <f t="shared" ref="A22:A41" si="4">A21+1</f>
        <v>8</v>
      </c>
      <c r="B22" s="165"/>
      <c r="C22" s="174" t="s">
        <v>458</v>
      </c>
      <c r="E22" s="175">
        <v>947032</v>
      </c>
      <c r="G22" s="175">
        <v>0</v>
      </c>
      <c r="I22" s="175">
        <f t="shared" si="1"/>
        <v>947032</v>
      </c>
      <c r="K22" s="171" t="s">
        <v>24</v>
      </c>
      <c r="M22" s="175">
        <v>0</v>
      </c>
      <c r="O22" s="175">
        <v>0</v>
      </c>
      <c r="Q22" s="175">
        <f t="shared" si="0"/>
        <v>0</v>
      </c>
      <c r="R22" s="175"/>
      <c r="S22" s="175"/>
      <c r="U22" s="175">
        <f t="shared" si="2"/>
        <v>947032</v>
      </c>
      <c r="W22" s="175">
        <v>0</v>
      </c>
      <c r="Y22" s="175">
        <v>0</v>
      </c>
      <c r="AA22" s="175">
        <v>0</v>
      </c>
      <c r="AC22" s="175">
        <f t="shared" si="3"/>
        <v>947032</v>
      </c>
      <c r="AD22" s="175"/>
    </row>
    <row r="23" spans="1:30">
      <c r="A23" s="145">
        <f t="shared" si="4"/>
        <v>9</v>
      </c>
      <c r="B23" s="165"/>
      <c r="C23" s="174" t="s">
        <v>459</v>
      </c>
      <c r="E23" s="175">
        <v>27813</v>
      </c>
      <c r="G23" s="175">
        <v>0</v>
      </c>
      <c r="I23" s="175">
        <f t="shared" si="1"/>
        <v>27813</v>
      </c>
      <c r="K23" s="171" t="s">
        <v>24</v>
      </c>
      <c r="M23" s="175">
        <v>0</v>
      </c>
      <c r="O23" s="175">
        <v>0</v>
      </c>
      <c r="Q23" s="175">
        <f t="shared" si="0"/>
        <v>0</v>
      </c>
      <c r="R23" s="175"/>
      <c r="S23" s="175"/>
      <c r="U23" s="175">
        <f t="shared" si="2"/>
        <v>27813</v>
      </c>
      <c r="W23" s="175">
        <v>0</v>
      </c>
      <c r="Y23" s="175">
        <v>0</v>
      </c>
      <c r="AA23" s="175">
        <v>0</v>
      </c>
      <c r="AC23" s="175">
        <f t="shared" si="3"/>
        <v>27813</v>
      </c>
      <c r="AD23" s="175"/>
    </row>
    <row r="24" spans="1:30">
      <c r="A24" s="145">
        <f t="shared" si="4"/>
        <v>10</v>
      </c>
      <c r="B24" s="165"/>
      <c r="C24" s="174" t="s">
        <v>460</v>
      </c>
      <c r="E24" s="175">
        <v>64224</v>
      </c>
      <c r="G24" s="175">
        <v>0</v>
      </c>
      <c r="I24" s="175">
        <f t="shared" si="1"/>
        <v>64224</v>
      </c>
      <c r="K24" s="171" t="s">
        <v>24</v>
      </c>
      <c r="M24" s="175"/>
      <c r="O24" s="175">
        <v>0</v>
      </c>
      <c r="Q24" s="175">
        <v>0</v>
      </c>
      <c r="R24" s="175"/>
      <c r="S24" s="175"/>
      <c r="U24" s="175">
        <f t="shared" si="2"/>
        <v>64224</v>
      </c>
      <c r="W24" s="175"/>
      <c r="Y24" s="175">
        <v>0</v>
      </c>
      <c r="AA24" s="175"/>
      <c r="AC24" s="175">
        <f t="shared" si="3"/>
        <v>64224</v>
      </c>
      <c r="AD24" s="175"/>
    </row>
    <row r="25" spans="1:30">
      <c r="A25" s="145">
        <f t="shared" si="4"/>
        <v>11</v>
      </c>
      <c r="B25" s="165"/>
      <c r="C25" s="174" t="s">
        <v>461</v>
      </c>
      <c r="E25" s="175">
        <v>67722</v>
      </c>
      <c r="G25" s="175">
        <v>-67722</v>
      </c>
      <c r="I25" s="175">
        <f t="shared" si="1"/>
        <v>0</v>
      </c>
      <c r="K25" s="171" t="s">
        <v>24</v>
      </c>
      <c r="M25" s="175">
        <v>0</v>
      </c>
      <c r="O25" s="175">
        <v>0</v>
      </c>
      <c r="Q25" s="175">
        <f t="shared" si="0"/>
        <v>0</v>
      </c>
      <c r="R25" s="175"/>
      <c r="S25" s="175"/>
      <c r="U25" s="175">
        <f t="shared" si="2"/>
        <v>0</v>
      </c>
      <c r="W25" s="175">
        <v>0</v>
      </c>
      <c r="Y25" s="175">
        <v>0</v>
      </c>
      <c r="AA25" s="175">
        <v>0</v>
      </c>
      <c r="AC25" s="175">
        <f t="shared" si="3"/>
        <v>0</v>
      </c>
      <c r="AD25" s="175"/>
    </row>
    <row r="26" spans="1:30">
      <c r="A26" s="145">
        <f t="shared" si="4"/>
        <v>12</v>
      </c>
      <c r="B26" s="165"/>
      <c r="C26" s="174" t="s">
        <v>462</v>
      </c>
      <c r="E26" s="175">
        <v>188565</v>
      </c>
      <c r="G26" s="175">
        <v>0</v>
      </c>
      <c r="I26" s="175">
        <f t="shared" si="1"/>
        <v>188565</v>
      </c>
      <c r="K26" s="171" t="s">
        <v>24</v>
      </c>
      <c r="M26" s="175">
        <v>0</v>
      </c>
      <c r="O26" s="175">
        <v>0</v>
      </c>
      <c r="Q26" s="175">
        <f t="shared" si="0"/>
        <v>0</v>
      </c>
      <c r="R26" s="175"/>
      <c r="S26" s="175"/>
      <c r="U26" s="175">
        <f t="shared" si="2"/>
        <v>188565</v>
      </c>
      <c r="W26" s="175">
        <v>0</v>
      </c>
      <c r="Y26" s="175">
        <v>0</v>
      </c>
      <c r="AA26" s="175">
        <v>0</v>
      </c>
      <c r="AC26" s="175">
        <f t="shared" si="3"/>
        <v>188565</v>
      </c>
      <c r="AD26" s="175"/>
    </row>
    <row r="27" spans="1:30">
      <c r="A27" s="145">
        <f t="shared" si="4"/>
        <v>13</v>
      </c>
      <c r="B27" s="165"/>
      <c r="C27" s="174" t="s">
        <v>463</v>
      </c>
      <c r="E27" s="175">
        <v>1330604</v>
      </c>
      <c r="G27" s="175">
        <v>0</v>
      </c>
      <c r="I27" s="175">
        <f t="shared" si="1"/>
        <v>1330604</v>
      </c>
      <c r="K27" s="171"/>
      <c r="M27" s="175"/>
      <c r="O27" s="175">
        <v>0</v>
      </c>
      <c r="Q27" s="175">
        <v>-1330604</v>
      </c>
      <c r="R27" s="175"/>
      <c r="S27" s="175"/>
      <c r="U27" s="175">
        <f t="shared" si="2"/>
        <v>0</v>
      </c>
      <c r="W27" s="175"/>
      <c r="Y27" s="175">
        <v>0</v>
      </c>
      <c r="AA27" s="175"/>
      <c r="AC27" s="175">
        <f t="shared" si="3"/>
        <v>0</v>
      </c>
      <c r="AD27" s="175"/>
    </row>
    <row r="28" spans="1:30">
      <c r="A28" s="145">
        <f t="shared" si="4"/>
        <v>14</v>
      </c>
      <c r="B28" s="165"/>
      <c r="C28" s="174" t="s">
        <v>464</v>
      </c>
      <c r="E28" s="175">
        <v>29321</v>
      </c>
      <c r="G28" s="175">
        <v>0</v>
      </c>
      <c r="I28" s="175">
        <f t="shared" si="1"/>
        <v>29321</v>
      </c>
      <c r="K28" s="171" t="s">
        <v>24</v>
      </c>
      <c r="M28" s="175">
        <v>0</v>
      </c>
      <c r="O28" s="175">
        <v>0</v>
      </c>
      <c r="Q28" s="175">
        <f t="shared" si="0"/>
        <v>0</v>
      </c>
      <c r="R28" s="175"/>
      <c r="S28" s="175"/>
      <c r="U28" s="175">
        <f t="shared" si="2"/>
        <v>29321</v>
      </c>
      <c r="W28" s="175">
        <v>0</v>
      </c>
      <c r="Y28" s="175">
        <v>0</v>
      </c>
      <c r="AA28" s="175">
        <v>0</v>
      </c>
      <c r="AC28" s="175">
        <f t="shared" si="3"/>
        <v>29321</v>
      </c>
      <c r="AD28" s="175"/>
    </row>
    <row r="29" spans="1:30">
      <c r="A29" s="145">
        <f t="shared" si="4"/>
        <v>15</v>
      </c>
      <c r="B29" s="165"/>
      <c r="C29" s="174" t="s">
        <v>465</v>
      </c>
      <c r="E29" s="175">
        <v>1315214</v>
      </c>
      <c r="G29" s="175">
        <v>0</v>
      </c>
      <c r="I29" s="175">
        <f t="shared" si="1"/>
        <v>1315214</v>
      </c>
      <c r="K29" s="171" t="s">
        <v>24</v>
      </c>
      <c r="M29" s="175"/>
      <c r="O29" s="175">
        <v>0</v>
      </c>
      <c r="Q29" s="175">
        <f t="shared" si="0"/>
        <v>0</v>
      </c>
      <c r="R29" s="144"/>
      <c r="S29" s="178"/>
      <c r="U29" s="175">
        <f t="shared" si="2"/>
        <v>1315214</v>
      </c>
      <c r="W29" s="175"/>
      <c r="Y29" s="175">
        <v>0</v>
      </c>
      <c r="AA29" s="175"/>
      <c r="AC29" s="175">
        <f t="shared" si="3"/>
        <v>1315214</v>
      </c>
      <c r="AD29" s="175"/>
    </row>
    <row r="30" spans="1:30">
      <c r="A30" s="145">
        <f t="shared" si="4"/>
        <v>16</v>
      </c>
      <c r="B30" s="165"/>
      <c r="C30" s="174" t="s">
        <v>466</v>
      </c>
      <c r="E30" s="175">
        <v>14574</v>
      </c>
      <c r="G30" s="175">
        <v>0</v>
      </c>
      <c r="I30" s="175">
        <f t="shared" si="1"/>
        <v>14574</v>
      </c>
      <c r="K30" s="171" t="s">
        <v>24</v>
      </c>
      <c r="M30" s="175">
        <v>0</v>
      </c>
      <c r="O30" s="175">
        <v>0</v>
      </c>
      <c r="Q30" s="175">
        <f t="shared" si="0"/>
        <v>0</v>
      </c>
      <c r="R30" s="175"/>
      <c r="S30" s="175"/>
      <c r="U30" s="175">
        <f t="shared" si="2"/>
        <v>14574</v>
      </c>
      <c r="W30" s="175">
        <v>0</v>
      </c>
      <c r="Y30" s="175">
        <v>0</v>
      </c>
      <c r="AA30" s="175">
        <v>0</v>
      </c>
      <c r="AC30" s="175">
        <f t="shared" si="3"/>
        <v>14574</v>
      </c>
      <c r="AD30" s="175"/>
    </row>
    <row r="31" spans="1:30">
      <c r="A31" s="145">
        <f t="shared" si="4"/>
        <v>17</v>
      </c>
      <c r="B31" s="165"/>
      <c r="C31" s="174" t="s">
        <v>467</v>
      </c>
      <c r="E31" s="175">
        <v>209434</v>
      </c>
      <c r="G31" s="175">
        <v>0</v>
      </c>
      <c r="I31" s="175">
        <f t="shared" si="1"/>
        <v>209434</v>
      </c>
      <c r="K31" s="171"/>
      <c r="M31" s="175"/>
      <c r="O31" s="175">
        <v>0</v>
      </c>
      <c r="Q31" s="175">
        <v>-209434</v>
      </c>
      <c r="R31" s="175"/>
      <c r="S31" s="175"/>
      <c r="U31" s="175">
        <f t="shared" si="2"/>
        <v>0</v>
      </c>
      <c r="W31" s="175"/>
      <c r="Y31" s="175">
        <v>0</v>
      </c>
      <c r="AA31" s="175"/>
      <c r="AC31" s="175">
        <f t="shared" si="3"/>
        <v>0</v>
      </c>
      <c r="AD31" s="175"/>
    </row>
    <row r="32" spans="1:30">
      <c r="A32" s="145">
        <f t="shared" si="4"/>
        <v>18</v>
      </c>
      <c r="B32" s="165"/>
      <c r="C32" s="174" t="s">
        <v>468</v>
      </c>
      <c r="E32" s="175">
        <v>117597</v>
      </c>
      <c r="G32" s="175">
        <v>0</v>
      </c>
      <c r="I32" s="175">
        <f t="shared" si="1"/>
        <v>117597</v>
      </c>
      <c r="K32" s="171" t="s">
        <v>24</v>
      </c>
      <c r="M32" s="175">
        <v>0</v>
      </c>
      <c r="O32" s="175">
        <v>0</v>
      </c>
      <c r="Q32" s="175">
        <f t="shared" si="0"/>
        <v>0</v>
      </c>
      <c r="R32" s="175"/>
      <c r="S32" s="175"/>
      <c r="U32" s="175">
        <f t="shared" si="2"/>
        <v>117597</v>
      </c>
      <c r="W32" s="175">
        <v>0</v>
      </c>
      <c r="Y32" s="175">
        <v>0</v>
      </c>
      <c r="AA32" s="175">
        <v>0</v>
      </c>
      <c r="AC32" s="175">
        <f t="shared" si="3"/>
        <v>117597</v>
      </c>
      <c r="AD32" s="175"/>
    </row>
    <row r="33" spans="1:30">
      <c r="A33" s="145">
        <f t="shared" si="4"/>
        <v>19</v>
      </c>
      <c r="B33" s="165"/>
      <c r="C33" s="174" t="s">
        <v>469</v>
      </c>
      <c r="E33" s="175">
        <v>19670</v>
      </c>
      <c r="G33" s="175">
        <v>-19670</v>
      </c>
      <c r="I33" s="175">
        <f t="shared" si="1"/>
        <v>0</v>
      </c>
      <c r="K33" s="171" t="s">
        <v>24</v>
      </c>
      <c r="M33" s="175">
        <v>0</v>
      </c>
      <c r="O33" s="175">
        <v>0</v>
      </c>
      <c r="Q33" s="175">
        <f t="shared" si="0"/>
        <v>0</v>
      </c>
      <c r="R33" s="175"/>
      <c r="S33" s="175"/>
      <c r="U33" s="175">
        <f t="shared" si="2"/>
        <v>0</v>
      </c>
      <c r="W33" s="175">
        <v>0</v>
      </c>
      <c r="Y33" s="175">
        <v>0</v>
      </c>
      <c r="AA33" s="175">
        <v>0</v>
      </c>
      <c r="AC33" s="175">
        <f t="shared" si="3"/>
        <v>0</v>
      </c>
      <c r="AD33" s="175"/>
    </row>
    <row r="34" spans="1:30">
      <c r="A34" s="145">
        <f t="shared" si="4"/>
        <v>20</v>
      </c>
      <c r="B34" s="165"/>
      <c r="C34" s="174" t="s">
        <v>470</v>
      </c>
      <c r="E34" s="175">
        <v>91452</v>
      </c>
      <c r="G34" s="175">
        <v>0</v>
      </c>
      <c r="I34" s="175">
        <f t="shared" si="1"/>
        <v>91452</v>
      </c>
      <c r="K34" s="171" t="s">
        <v>24</v>
      </c>
      <c r="M34" s="175">
        <v>0</v>
      </c>
      <c r="O34" s="175">
        <v>0</v>
      </c>
      <c r="Q34" s="175">
        <f t="shared" si="0"/>
        <v>0</v>
      </c>
      <c r="R34" s="175"/>
      <c r="S34" s="175"/>
      <c r="U34" s="175">
        <f t="shared" si="2"/>
        <v>91452</v>
      </c>
      <c r="W34" s="175">
        <v>0</v>
      </c>
      <c r="Y34" s="175">
        <v>0</v>
      </c>
      <c r="AA34" s="175">
        <v>0</v>
      </c>
      <c r="AC34" s="175">
        <f t="shared" si="3"/>
        <v>91452</v>
      </c>
      <c r="AD34" s="179"/>
    </row>
    <row r="35" spans="1:30">
      <c r="A35" s="145">
        <f t="shared" si="4"/>
        <v>21</v>
      </c>
      <c r="B35" s="165"/>
      <c r="C35" s="174" t="s">
        <v>471</v>
      </c>
      <c r="E35" s="175">
        <v>243933</v>
      </c>
      <c r="G35" s="175">
        <v>0</v>
      </c>
      <c r="I35" s="175">
        <f t="shared" si="1"/>
        <v>243933</v>
      </c>
      <c r="K35" s="171" t="s">
        <v>24</v>
      </c>
      <c r="M35" s="175">
        <v>0</v>
      </c>
      <c r="O35" s="175">
        <v>0</v>
      </c>
      <c r="Q35" s="175">
        <f t="shared" si="0"/>
        <v>0</v>
      </c>
      <c r="R35" s="175"/>
      <c r="S35" s="175"/>
      <c r="U35" s="175">
        <f t="shared" si="2"/>
        <v>243933</v>
      </c>
      <c r="W35" s="175">
        <v>0</v>
      </c>
      <c r="Y35" s="175">
        <v>0</v>
      </c>
      <c r="AA35" s="175">
        <v>0</v>
      </c>
      <c r="AC35" s="175">
        <f t="shared" si="3"/>
        <v>243933</v>
      </c>
      <c r="AD35" s="176"/>
    </row>
    <row r="36" spans="1:30">
      <c r="A36" s="145">
        <f t="shared" si="4"/>
        <v>22</v>
      </c>
      <c r="B36" s="165"/>
      <c r="C36" s="174" t="s">
        <v>472</v>
      </c>
      <c r="E36" s="175">
        <v>530994</v>
      </c>
      <c r="G36" s="175">
        <v>0</v>
      </c>
      <c r="I36" s="175">
        <f t="shared" si="1"/>
        <v>530994</v>
      </c>
      <c r="K36" s="171" t="s">
        <v>24</v>
      </c>
      <c r="M36" s="175"/>
      <c r="O36" s="175">
        <v>0</v>
      </c>
      <c r="Q36" s="175">
        <f t="shared" si="0"/>
        <v>0</v>
      </c>
      <c r="R36" s="144"/>
      <c r="S36" s="175"/>
      <c r="U36" s="175">
        <f t="shared" si="2"/>
        <v>530994</v>
      </c>
      <c r="W36" s="175"/>
      <c r="Y36" s="175">
        <v>0</v>
      </c>
      <c r="AA36" s="175"/>
      <c r="AC36" s="175">
        <f t="shared" si="3"/>
        <v>530994</v>
      </c>
      <c r="AD36" s="176"/>
    </row>
    <row r="37" spans="1:30">
      <c r="A37" s="145">
        <f t="shared" si="4"/>
        <v>23</v>
      </c>
      <c r="B37" s="165"/>
      <c r="C37" s="174" t="s">
        <v>473</v>
      </c>
      <c r="E37" s="175">
        <v>525507</v>
      </c>
      <c r="G37" s="175">
        <v>0</v>
      </c>
      <c r="I37" s="175">
        <f t="shared" si="1"/>
        <v>525507</v>
      </c>
      <c r="K37" s="171"/>
      <c r="M37" s="175"/>
      <c r="O37" s="175">
        <v>0</v>
      </c>
      <c r="Q37" s="175">
        <v>-53602</v>
      </c>
      <c r="R37" s="175"/>
      <c r="S37" s="175"/>
      <c r="U37" s="175">
        <f t="shared" si="2"/>
        <v>471905</v>
      </c>
      <c r="W37" s="175"/>
      <c r="Y37" s="175">
        <v>0</v>
      </c>
      <c r="AA37" s="175"/>
      <c r="AC37" s="175">
        <f t="shared" si="3"/>
        <v>471905</v>
      </c>
      <c r="AD37" s="176"/>
    </row>
    <row r="38" spans="1:30">
      <c r="A38" s="145">
        <f t="shared" si="4"/>
        <v>24</v>
      </c>
      <c r="B38" s="165"/>
      <c r="C38" s="174" t="s">
        <v>474</v>
      </c>
      <c r="E38" s="175">
        <v>417939</v>
      </c>
      <c r="G38" s="175">
        <v>0</v>
      </c>
      <c r="I38" s="175">
        <f t="shared" si="1"/>
        <v>417939</v>
      </c>
      <c r="K38" s="171" t="s">
        <v>24</v>
      </c>
      <c r="M38" s="175"/>
      <c r="O38" s="175">
        <v>0</v>
      </c>
      <c r="Q38" s="175">
        <f t="shared" si="0"/>
        <v>0</v>
      </c>
      <c r="R38" s="144"/>
      <c r="S38" s="175"/>
      <c r="U38" s="175">
        <f t="shared" si="2"/>
        <v>417939</v>
      </c>
      <c r="W38" s="175"/>
      <c r="Y38" s="175">
        <v>0</v>
      </c>
      <c r="AA38" s="175"/>
      <c r="AC38" s="175">
        <f t="shared" si="3"/>
        <v>417939</v>
      </c>
      <c r="AD38" s="176"/>
    </row>
    <row r="39" spans="1:30">
      <c r="A39" s="145">
        <f t="shared" si="4"/>
        <v>25</v>
      </c>
      <c r="B39" s="165"/>
      <c r="C39" s="174" t="s">
        <v>475</v>
      </c>
      <c r="E39" s="175">
        <v>735297</v>
      </c>
      <c r="G39" s="175">
        <v>0</v>
      </c>
      <c r="I39" s="175">
        <f t="shared" si="1"/>
        <v>735297</v>
      </c>
      <c r="K39" s="171" t="s">
        <v>24</v>
      </c>
      <c r="M39" s="175"/>
      <c r="O39" s="175">
        <v>0</v>
      </c>
      <c r="Q39" s="175">
        <f t="shared" si="0"/>
        <v>0</v>
      </c>
      <c r="R39" s="144"/>
      <c r="S39" s="175"/>
      <c r="U39" s="175">
        <f t="shared" si="2"/>
        <v>735297</v>
      </c>
      <c r="W39" s="175"/>
      <c r="Y39" s="175">
        <v>0</v>
      </c>
      <c r="AA39" s="175"/>
      <c r="AC39" s="175">
        <f t="shared" si="3"/>
        <v>735297</v>
      </c>
      <c r="AD39" s="176"/>
    </row>
    <row r="40" spans="1:30">
      <c r="A40" s="145">
        <f t="shared" si="4"/>
        <v>26</v>
      </c>
      <c r="B40" s="165"/>
      <c r="C40" s="174" t="s">
        <v>476</v>
      </c>
      <c r="E40" s="175">
        <v>0</v>
      </c>
      <c r="G40" s="175">
        <v>0</v>
      </c>
      <c r="I40" s="175">
        <f t="shared" si="1"/>
        <v>0</v>
      </c>
      <c r="K40" s="171"/>
      <c r="M40" s="175"/>
      <c r="O40" s="175">
        <v>0</v>
      </c>
      <c r="Q40" s="175">
        <v>1800000</v>
      </c>
      <c r="R40" s="144"/>
      <c r="S40" s="175"/>
      <c r="U40" s="175">
        <f t="shared" si="2"/>
        <v>1800000</v>
      </c>
      <c r="W40" s="175"/>
      <c r="Y40" s="175">
        <v>0</v>
      </c>
      <c r="AA40" s="175"/>
      <c r="AC40" s="175">
        <f t="shared" si="3"/>
        <v>1800000</v>
      </c>
      <c r="AD40" s="176"/>
    </row>
    <row r="41" spans="1:30">
      <c r="A41" s="145">
        <f t="shared" si="4"/>
        <v>27</v>
      </c>
      <c r="B41" s="165"/>
      <c r="C41" s="174" t="s">
        <v>477</v>
      </c>
      <c r="E41" s="180">
        <f>SUM(E18:E40)</f>
        <v>7704280</v>
      </c>
      <c r="G41" s="180">
        <f>SUM(G18:G40)</f>
        <v>-291903</v>
      </c>
      <c r="I41" s="181">
        <f t="shared" si="1"/>
        <v>7412377</v>
      </c>
      <c r="K41" s="179"/>
      <c r="M41" s="179">
        <f>SUM(M18:M35)</f>
        <v>0</v>
      </c>
      <c r="O41" s="180">
        <f>SUM(O18:O40)</f>
        <v>0</v>
      </c>
      <c r="Q41" s="180">
        <f>SUM(Q18:Q40)</f>
        <v>206360</v>
      </c>
      <c r="R41" s="144"/>
      <c r="S41" s="179"/>
      <c r="U41" s="180">
        <f>SUM(U18:U40)</f>
        <v>7618737</v>
      </c>
      <c r="W41" s="179">
        <f>SUM(W18:W35)</f>
        <v>0</v>
      </c>
      <c r="Y41" s="180">
        <f>SUM(Y18:Y40)</f>
        <v>0</v>
      </c>
      <c r="AA41" s="179">
        <f>SUM(AA18:AA35)</f>
        <v>0</v>
      </c>
      <c r="AC41" s="180">
        <f>SUM(AC18:AC40)</f>
        <v>7618737</v>
      </c>
      <c r="AD41" s="169"/>
    </row>
    <row r="42" spans="1:30">
      <c r="A42" s="145"/>
      <c r="B42" s="165"/>
      <c r="C42" s="165"/>
      <c r="E42" s="176"/>
      <c r="G42" s="176"/>
      <c r="I42" s="176"/>
      <c r="K42" s="176"/>
      <c r="M42" s="176"/>
      <c r="O42" s="176"/>
      <c r="Q42" s="176"/>
      <c r="R42" s="176"/>
      <c r="S42" s="176"/>
      <c r="U42" s="176"/>
      <c r="W42" s="176"/>
      <c r="Y42" s="176"/>
      <c r="AA42" s="176"/>
      <c r="AC42" s="176"/>
      <c r="AD42" s="175"/>
    </row>
    <row r="43" spans="1:30">
      <c r="A43" s="145"/>
      <c r="B43" s="164" t="s">
        <v>478</v>
      </c>
      <c r="C43" s="165"/>
      <c r="E43" s="169"/>
      <c r="G43" s="169"/>
      <c r="I43" s="169"/>
      <c r="K43" s="169"/>
      <c r="M43" s="169"/>
      <c r="O43" s="169"/>
      <c r="Q43" s="169"/>
      <c r="R43" s="169"/>
      <c r="S43" s="169"/>
      <c r="U43" s="169"/>
      <c r="W43" s="169"/>
      <c r="Y43" s="169"/>
      <c r="AA43" s="169"/>
      <c r="AC43" s="169"/>
      <c r="AD43" s="175"/>
    </row>
    <row r="44" spans="1:30">
      <c r="A44" s="145">
        <f>A41+1</f>
        <v>28</v>
      </c>
      <c r="B44" s="165"/>
      <c r="C44" s="174" t="s">
        <v>479</v>
      </c>
      <c r="E44" s="175">
        <v>179904</v>
      </c>
      <c r="G44" s="175">
        <v>0</v>
      </c>
      <c r="I44" s="175">
        <f t="shared" ref="I44:I57" si="5">G44+E44</f>
        <v>179904</v>
      </c>
      <c r="K44" s="171" t="s">
        <v>24</v>
      </c>
      <c r="M44" s="175">
        <v>0</v>
      </c>
      <c r="O44" s="175">
        <v>0</v>
      </c>
      <c r="Q44" s="175">
        <f t="shared" ref="Q44:Q56" si="6">+M44+O44</f>
        <v>0</v>
      </c>
      <c r="R44" s="178"/>
      <c r="S44" s="175"/>
      <c r="U44" s="175">
        <f t="shared" ref="U44:U56" si="7">+I44+Q44</f>
        <v>179904</v>
      </c>
      <c r="W44" s="175">
        <v>0</v>
      </c>
      <c r="Y44" s="175">
        <v>0</v>
      </c>
      <c r="AA44" s="175">
        <v>0</v>
      </c>
      <c r="AC44" s="175">
        <f t="shared" ref="AC44:AC56" si="8">+U44+W44+Y44+AA44</f>
        <v>179904</v>
      </c>
      <c r="AD44" s="175"/>
    </row>
    <row r="45" spans="1:30">
      <c r="A45" s="145">
        <f>A44+1</f>
        <v>29</v>
      </c>
      <c r="B45" s="165"/>
      <c r="C45" s="174" t="s">
        <v>480</v>
      </c>
      <c r="E45" s="175">
        <v>67932</v>
      </c>
      <c r="G45" s="175">
        <v>0</v>
      </c>
      <c r="I45" s="175">
        <f t="shared" si="5"/>
        <v>67932</v>
      </c>
      <c r="K45" s="171"/>
      <c r="M45" s="175">
        <v>0</v>
      </c>
      <c r="O45" s="175">
        <v>0</v>
      </c>
      <c r="Q45" s="175">
        <v>-574</v>
      </c>
      <c r="R45" s="144"/>
      <c r="S45" s="175"/>
      <c r="U45" s="175">
        <f t="shared" si="7"/>
        <v>67358</v>
      </c>
      <c r="W45" s="175">
        <v>0</v>
      </c>
      <c r="Y45" s="175">
        <v>0</v>
      </c>
      <c r="AA45" s="175">
        <v>0</v>
      </c>
      <c r="AC45" s="175">
        <f t="shared" si="8"/>
        <v>67358</v>
      </c>
      <c r="AD45" s="175"/>
    </row>
    <row r="46" spans="1:30">
      <c r="A46" s="145">
        <f t="shared" ref="A46:A57" si="9">A45+1</f>
        <v>30</v>
      </c>
      <c r="B46" s="165"/>
      <c r="C46" s="174" t="s">
        <v>481</v>
      </c>
      <c r="E46" s="175">
        <v>26671</v>
      </c>
      <c r="G46" s="175">
        <v>0</v>
      </c>
      <c r="I46" s="175">
        <f t="shared" si="5"/>
        <v>26671</v>
      </c>
      <c r="K46" s="171" t="s">
        <v>24</v>
      </c>
      <c r="M46" s="175">
        <v>0</v>
      </c>
      <c r="O46" s="175">
        <v>0</v>
      </c>
      <c r="Q46" s="175">
        <f t="shared" si="6"/>
        <v>0</v>
      </c>
      <c r="R46" s="175"/>
      <c r="S46" s="175"/>
      <c r="U46" s="175">
        <f t="shared" si="7"/>
        <v>26671</v>
      </c>
      <c r="W46" s="175">
        <v>0</v>
      </c>
      <c r="Y46" s="175">
        <v>0</v>
      </c>
      <c r="AA46" s="175">
        <v>0</v>
      </c>
      <c r="AC46" s="175">
        <f t="shared" si="8"/>
        <v>26671</v>
      </c>
      <c r="AD46" s="175"/>
    </row>
    <row r="47" spans="1:30">
      <c r="A47" s="145">
        <f t="shared" si="9"/>
        <v>31</v>
      </c>
      <c r="B47" s="165"/>
      <c r="C47" s="174" t="s">
        <v>482</v>
      </c>
      <c r="E47" s="175">
        <v>579685</v>
      </c>
      <c r="G47" s="175">
        <v>0</v>
      </c>
      <c r="I47" s="175">
        <f t="shared" si="5"/>
        <v>579685</v>
      </c>
      <c r="K47" s="171" t="s">
        <v>24</v>
      </c>
      <c r="M47" s="175"/>
      <c r="O47" s="175">
        <v>0</v>
      </c>
      <c r="Q47" s="175">
        <v>0</v>
      </c>
      <c r="R47" s="175"/>
      <c r="S47" s="175"/>
      <c r="U47" s="175">
        <f t="shared" si="7"/>
        <v>579685</v>
      </c>
      <c r="W47" s="175"/>
      <c r="Y47" s="175">
        <v>0</v>
      </c>
      <c r="AA47" s="175"/>
      <c r="AC47" s="175">
        <f t="shared" si="8"/>
        <v>579685</v>
      </c>
      <c r="AD47" s="175"/>
    </row>
    <row r="48" spans="1:30">
      <c r="A48" s="145">
        <f t="shared" si="9"/>
        <v>32</v>
      </c>
      <c r="B48" s="165"/>
      <c r="C48" s="174" t="s">
        <v>483</v>
      </c>
      <c r="E48" s="175">
        <v>308066</v>
      </c>
      <c r="G48" s="175">
        <v>0</v>
      </c>
      <c r="I48" s="175">
        <f t="shared" si="5"/>
        <v>308066</v>
      </c>
      <c r="K48" s="171" t="s">
        <v>24</v>
      </c>
      <c r="M48" s="175">
        <v>0</v>
      </c>
      <c r="O48" s="175">
        <v>0</v>
      </c>
      <c r="Q48" s="175">
        <f t="shared" si="6"/>
        <v>0</v>
      </c>
      <c r="R48" s="175"/>
      <c r="S48" s="175"/>
      <c r="U48" s="175">
        <f t="shared" si="7"/>
        <v>308066</v>
      </c>
      <c r="W48" s="175">
        <v>0</v>
      </c>
      <c r="Y48" s="175">
        <v>0</v>
      </c>
      <c r="AA48" s="175">
        <v>0</v>
      </c>
      <c r="AC48" s="175">
        <f t="shared" si="8"/>
        <v>308066</v>
      </c>
      <c r="AD48" s="175"/>
    </row>
    <row r="49" spans="1:30">
      <c r="A49" s="145">
        <f t="shared" si="9"/>
        <v>33</v>
      </c>
      <c r="B49" s="165"/>
      <c r="C49" s="174" t="s">
        <v>484</v>
      </c>
      <c r="E49" s="175">
        <v>22377</v>
      </c>
      <c r="G49" s="175">
        <v>-22377</v>
      </c>
      <c r="I49" s="175">
        <f t="shared" si="5"/>
        <v>0</v>
      </c>
      <c r="K49" s="171" t="s">
        <v>24</v>
      </c>
      <c r="M49" s="175">
        <v>0</v>
      </c>
      <c r="O49" s="175">
        <v>0</v>
      </c>
      <c r="Q49" s="175">
        <f t="shared" si="6"/>
        <v>0</v>
      </c>
      <c r="R49" s="175"/>
      <c r="S49" s="175"/>
      <c r="U49" s="175">
        <f t="shared" si="7"/>
        <v>0</v>
      </c>
      <c r="W49" s="175">
        <v>0</v>
      </c>
      <c r="Y49" s="175">
        <v>0</v>
      </c>
      <c r="AA49" s="175">
        <v>0</v>
      </c>
      <c r="AC49" s="175">
        <f t="shared" si="8"/>
        <v>0</v>
      </c>
      <c r="AD49" s="175"/>
    </row>
    <row r="50" spans="1:30">
      <c r="A50" s="145">
        <f t="shared" si="9"/>
        <v>34</v>
      </c>
      <c r="B50" s="165"/>
      <c r="C50" s="174" t="s">
        <v>485</v>
      </c>
      <c r="E50" s="175">
        <v>220052</v>
      </c>
      <c r="G50" s="175">
        <v>0</v>
      </c>
      <c r="I50" s="175">
        <f t="shared" si="5"/>
        <v>220052</v>
      </c>
      <c r="K50" s="171"/>
      <c r="M50" s="175">
        <v>0</v>
      </c>
      <c r="O50" s="175">
        <v>0</v>
      </c>
      <c r="Q50" s="175">
        <v>2500000</v>
      </c>
      <c r="R50" s="144"/>
      <c r="S50" s="175"/>
      <c r="U50" s="175">
        <f t="shared" si="7"/>
        <v>2720052</v>
      </c>
      <c r="W50" s="175">
        <v>0</v>
      </c>
      <c r="Y50" s="175">
        <v>0</v>
      </c>
      <c r="AA50" s="175">
        <v>0</v>
      </c>
      <c r="AC50" s="175">
        <f t="shared" si="8"/>
        <v>2720052</v>
      </c>
      <c r="AD50" s="175"/>
    </row>
    <row r="51" spans="1:30">
      <c r="A51" s="145">
        <f t="shared" si="9"/>
        <v>35</v>
      </c>
      <c r="B51" s="165"/>
      <c r="C51" s="174" t="s">
        <v>486</v>
      </c>
      <c r="E51" s="175">
        <v>870843</v>
      </c>
      <c r="G51" s="175">
        <v>-73257</v>
      </c>
      <c r="I51" s="175">
        <f t="shared" si="5"/>
        <v>797586</v>
      </c>
      <c r="K51" s="171" t="s">
        <v>24</v>
      </c>
      <c r="M51" s="175">
        <v>0</v>
      </c>
      <c r="O51" s="175">
        <v>0</v>
      </c>
      <c r="Q51" s="175">
        <f t="shared" si="6"/>
        <v>0</v>
      </c>
      <c r="R51" s="175"/>
      <c r="S51" s="175"/>
      <c r="U51" s="175">
        <f t="shared" si="7"/>
        <v>797586</v>
      </c>
      <c r="W51" s="175">
        <v>0</v>
      </c>
      <c r="Y51" s="175">
        <v>0</v>
      </c>
      <c r="AA51" s="175">
        <v>0</v>
      </c>
      <c r="AC51" s="175">
        <f t="shared" si="8"/>
        <v>797586</v>
      </c>
      <c r="AD51" s="175"/>
    </row>
    <row r="52" spans="1:30">
      <c r="A52" s="145">
        <f t="shared" si="9"/>
        <v>36</v>
      </c>
      <c r="B52" s="165"/>
      <c r="C52" s="174" t="s">
        <v>487</v>
      </c>
      <c r="E52" s="175">
        <v>778595</v>
      </c>
      <c r="G52" s="175">
        <v>0</v>
      </c>
      <c r="I52" s="175">
        <f t="shared" si="5"/>
        <v>778595</v>
      </c>
      <c r="K52" s="171" t="s">
        <v>24</v>
      </c>
      <c r="M52" s="175"/>
      <c r="O52" s="175">
        <v>0</v>
      </c>
      <c r="Q52" s="175">
        <v>0</v>
      </c>
      <c r="R52" s="175"/>
      <c r="S52" s="175"/>
      <c r="U52" s="175">
        <f t="shared" si="7"/>
        <v>778595</v>
      </c>
      <c r="W52" s="175"/>
      <c r="Y52" s="175">
        <v>0</v>
      </c>
      <c r="AA52" s="175"/>
      <c r="AC52" s="175">
        <f t="shared" si="8"/>
        <v>778595</v>
      </c>
      <c r="AD52" s="175"/>
    </row>
    <row r="53" spans="1:30">
      <c r="A53" s="145">
        <f t="shared" si="9"/>
        <v>37</v>
      </c>
      <c r="B53" s="165"/>
      <c r="C53" s="174" t="s">
        <v>488</v>
      </c>
      <c r="E53" s="175">
        <v>69594</v>
      </c>
      <c r="G53" s="175">
        <v>0</v>
      </c>
      <c r="I53" s="175">
        <f t="shared" si="5"/>
        <v>69594</v>
      </c>
      <c r="K53" s="171" t="s">
        <v>24</v>
      </c>
      <c r="M53" s="175"/>
      <c r="O53" s="175">
        <v>0</v>
      </c>
      <c r="Q53" s="175">
        <v>0</v>
      </c>
      <c r="R53" s="175"/>
      <c r="S53" s="175"/>
      <c r="U53" s="175">
        <f t="shared" si="7"/>
        <v>69594</v>
      </c>
      <c r="W53" s="175"/>
      <c r="Y53" s="175">
        <v>0</v>
      </c>
      <c r="AA53" s="175"/>
      <c r="AC53" s="175">
        <f t="shared" si="8"/>
        <v>69594</v>
      </c>
      <c r="AD53" s="175"/>
    </row>
    <row r="54" spans="1:30">
      <c r="A54" s="145">
        <f t="shared" si="9"/>
        <v>38</v>
      </c>
      <c r="B54" s="165"/>
      <c r="C54" s="174" t="s">
        <v>489</v>
      </c>
      <c r="E54" s="175">
        <v>89977</v>
      </c>
      <c r="G54" s="175">
        <v>0</v>
      </c>
      <c r="I54" s="175">
        <f t="shared" si="5"/>
        <v>89977</v>
      </c>
      <c r="K54" s="171" t="s">
        <v>24</v>
      </c>
      <c r="M54" s="175">
        <v>0</v>
      </c>
      <c r="O54" s="175">
        <v>0</v>
      </c>
      <c r="Q54" s="175">
        <f t="shared" si="6"/>
        <v>0</v>
      </c>
      <c r="R54" s="175"/>
      <c r="S54" s="175"/>
      <c r="U54" s="175">
        <f t="shared" si="7"/>
        <v>89977</v>
      </c>
      <c r="W54" s="175">
        <v>0</v>
      </c>
      <c r="Y54" s="175">
        <v>0</v>
      </c>
      <c r="AA54" s="175">
        <v>0</v>
      </c>
      <c r="AC54" s="175">
        <f t="shared" si="8"/>
        <v>89977</v>
      </c>
      <c r="AD54" s="179"/>
    </row>
    <row r="55" spans="1:30">
      <c r="A55" s="145">
        <f t="shared" si="9"/>
        <v>39</v>
      </c>
      <c r="B55" s="165"/>
      <c r="C55" s="174" t="s">
        <v>490</v>
      </c>
      <c r="E55" s="175">
        <v>9918</v>
      </c>
      <c r="G55" s="175">
        <v>-9918</v>
      </c>
      <c r="I55" s="175">
        <f t="shared" si="5"/>
        <v>0</v>
      </c>
      <c r="K55" s="171" t="s">
        <v>24</v>
      </c>
      <c r="M55" s="175">
        <v>0</v>
      </c>
      <c r="O55" s="175">
        <v>0</v>
      </c>
      <c r="Q55" s="175">
        <f t="shared" si="6"/>
        <v>0</v>
      </c>
      <c r="R55" s="175"/>
      <c r="S55" s="175"/>
      <c r="U55" s="175">
        <f t="shared" si="7"/>
        <v>0</v>
      </c>
      <c r="W55" s="175">
        <v>0</v>
      </c>
      <c r="Y55" s="175">
        <v>0</v>
      </c>
      <c r="AA55" s="175">
        <v>0</v>
      </c>
      <c r="AC55" s="175">
        <f t="shared" si="8"/>
        <v>0</v>
      </c>
      <c r="AD55" s="169"/>
    </row>
    <row r="56" spans="1:30">
      <c r="A56" s="145">
        <f t="shared" si="9"/>
        <v>40</v>
      </c>
      <c r="B56" s="165"/>
      <c r="C56" s="174" t="s">
        <v>475</v>
      </c>
      <c r="E56" s="173">
        <v>125433</v>
      </c>
      <c r="G56" s="173">
        <v>0</v>
      </c>
      <c r="I56" s="173">
        <f t="shared" si="5"/>
        <v>125433</v>
      </c>
      <c r="K56" s="171" t="s">
        <v>24</v>
      </c>
      <c r="M56" s="175"/>
      <c r="O56" s="173">
        <v>0</v>
      </c>
      <c r="Q56" s="173">
        <f t="shared" si="6"/>
        <v>0</v>
      </c>
      <c r="R56" s="175"/>
      <c r="S56" s="175"/>
      <c r="U56" s="173">
        <f t="shared" si="7"/>
        <v>125433</v>
      </c>
      <c r="W56" s="175"/>
      <c r="Y56" s="173">
        <v>0</v>
      </c>
      <c r="AA56" s="175"/>
      <c r="AC56" s="173">
        <f t="shared" si="8"/>
        <v>125433</v>
      </c>
      <c r="AD56" s="169"/>
    </row>
    <row r="57" spans="1:30">
      <c r="A57" s="145">
        <f t="shared" si="9"/>
        <v>41</v>
      </c>
      <c r="B57" s="165"/>
      <c r="C57" s="182" t="s">
        <v>491</v>
      </c>
      <c r="E57" s="179">
        <f>SUM(E44:E56)</f>
        <v>3349047</v>
      </c>
      <c r="G57" s="179">
        <f>SUM(G44:G56)</f>
        <v>-105552</v>
      </c>
      <c r="I57" s="175">
        <f t="shared" si="5"/>
        <v>3243495</v>
      </c>
      <c r="K57" s="179"/>
      <c r="M57" s="179">
        <f>SUM(M44:M55)</f>
        <v>0</v>
      </c>
      <c r="O57" s="179">
        <f>SUM(O44:O56)</f>
        <v>0</v>
      </c>
      <c r="Q57" s="179">
        <f>SUM(Q44:Q56)</f>
        <v>2499426</v>
      </c>
      <c r="R57" s="179"/>
      <c r="S57" s="179"/>
      <c r="U57" s="179">
        <f>SUM(U44:U56)</f>
        <v>5742921</v>
      </c>
      <c r="W57" s="179">
        <f>SUM(W44:W55)</f>
        <v>0</v>
      </c>
      <c r="Y57" s="179">
        <f>SUM(Y44:Y56)</f>
        <v>0</v>
      </c>
      <c r="AA57" s="179">
        <f>SUM(AA44:AA55)</f>
        <v>0</v>
      </c>
      <c r="AC57" s="179">
        <f>SUM(AC44:AC56)</f>
        <v>5742921</v>
      </c>
      <c r="AD57" s="169"/>
    </row>
    <row r="58" spans="1:30">
      <c r="A58" s="145"/>
      <c r="B58" s="165"/>
      <c r="C58" s="174"/>
      <c r="E58" s="169"/>
      <c r="G58" s="169"/>
      <c r="I58" s="169"/>
      <c r="K58" s="169"/>
      <c r="M58" s="169"/>
      <c r="O58" s="169"/>
      <c r="Q58" s="169"/>
      <c r="R58" s="169"/>
      <c r="S58" s="169"/>
      <c r="U58" s="169"/>
      <c r="W58" s="169"/>
      <c r="Y58" s="169"/>
      <c r="AA58" s="169"/>
      <c r="AC58" s="169"/>
    </row>
    <row r="59" spans="1:30" ht="18.75" thickBot="1">
      <c r="A59" s="145">
        <f>A57+1</f>
        <v>42</v>
      </c>
      <c r="B59" s="165"/>
      <c r="C59" s="182" t="s">
        <v>492</v>
      </c>
      <c r="E59" s="183">
        <f>E15+E41+E57</f>
        <v>13210723</v>
      </c>
      <c r="G59" s="183">
        <f>G41+G57+G15</f>
        <v>-2554851</v>
      </c>
      <c r="I59" s="183">
        <f>I41+I57+I15</f>
        <v>10655872</v>
      </c>
      <c r="K59" s="169"/>
      <c r="M59" s="183">
        <f>M41+M57+M15</f>
        <v>0</v>
      </c>
      <c r="O59" s="183">
        <f>O41+O57+O15</f>
        <v>0</v>
      </c>
      <c r="Q59" s="183">
        <f>Q41+Q57+Q15</f>
        <v>2705786</v>
      </c>
      <c r="R59" s="169"/>
      <c r="S59" s="184" t="s">
        <v>493</v>
      </c>
      <c r="U59" s="183">
        <f>U41+U57+U15</f>
        <v>13361658</v>
      </c>
      <c r="W59" s="183">
        <f>W41+W57+W15</f>
        <v>0</v>
      </c>
      <c r="Y59" s="183">
        <f>Y41+Y57+Y15</f>
        <v>0</v>
      </c>
      <c r="AA59" s="183">
        <f>AA41+AA57+AA15</f>
        <v>0</v>
      </c>
      <c r="AC59" s="183">
        <f>AC41+AC57+AC15</f>
        <v>13361658</v>
      </c>
    </row>
    <row r="60" spans="1:30" ht="13.5" thickTop="1">
      <c r="A60" s="145"/>
      <c r="B60" s="165"/>
      <c r="C60" s="164"/>
      <c r="E60" s="169"/>
      <c r="G60" s="169"/>
      <c r="I60" s="169"/>
    </row>
    <row r="63" spans="1:30">
      <c r="B63" s="144"/>
      <c r="C63" s="185"/>
    </row>
    <row r="64" spans="1:30">
      <c r="B64" s="144"/>
    </row>
    <row r="65" spans="2:2">
      <c r="B65" s="144"/>
    </row>
    <row r="66" spans="2:2">
      <c r="B66" s="144"/>
    </row>
    <row r="67" spans="2:2">
      <c r="B67" s="144"/>
    </row>
    <row r="68" spans="2:2">
      <c r="B68" s="144"/>
    </row>
    <row r="69" spans="2:2">
      <c r="B69" s="144"/>
    </row>
    <row r="70" spans="2:2">
      <c r="B70" s="144"/>
    </row>
    <row r="71" spans="2:2">
      <c r="B71" s="144"/>
    </row>
  </sheetData>
  <mergeCells count="4">
    <mergeCell ref="A1:AD1"/>
    <mergeCell ref="A2:AD2"/>
    <mergeCell ref="A3:AD3"/>
    <mergeCell ref="K8:O8"/>
  </mergeCells>
  <printOptions horizontalCentered="1"/>
  <pageMargins left="1" right="1" top="1" bottom="1" header="0.3" footer="0.3"/>
  <pageSetup scale="48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0F86-9565-45BA-8235-495B34E5115E}">
  <sheetPr>
    <pageSetUpPr fitToPage="1"/>
  </sheetPr>
  <dimension ref="A1:N50"/>
  <sheetViews>
    <sheetView zoomScale="75" workbookViewId="0">
      <selection activeCell="C42" sqref="C42"/>
    </sheetView>
  </sheetViews>
  <sheetFormatPr defaultColWidth="10" defaultRowHeight="12.75"/>
  <cols>
    <col min="1" max="1" width="49.75" style="200" customWidth="1"/>
    <col min="2" max="4" width="14.875" style="211" customWidth="1"/>
    <col min="5" max="5" width="14.875" style="200" customWidth="1"/>
    <col min="6" max="6" width="3" style="200" customWidth="1"/>
    <col min="7" max="7" width="15.5" style="200" customWidth="1"/>
    <col min="8" max="8" width="11.625" style="200" bestFit="1" customWidth="1"/>
    <col min="9" max="16384" width="10" style="200"/>
  </cols>
  <sheetData>
    <row r="1" spans="1:14">
      <c r="A1" s="197" t="s">
        <v>0</v>
      </c>
      <c r="B1" s="198"/>
      <c r="C1" s="198"/>
      <c r="D1" s="198"/>
      <c r="E1" s="199"/>
    </row>
    <row r="2" spans="1:14">
      <c r="A2" s="197" t="s">
        <v>494</v>
      </c>
      <c r="B2" s="198"/>
      <c r="C2" s="198"/>
      <c r="D2" s="198"/>
      <c r="E2" s="199"/>
    </row>
    <row r="3" spans="1:14">
      <c r="A3" s="197" t="s">
        <v>423</v>
      </c>
      <c r="B3" s="198"/>
      <c r="C3" s="198"/>
      <c r="D3" s="198"/>
      <c r="E3" s="199"/>
    </row>
    <row r="4" spans="1:14" s="203" customFormat="1" ht="14.25">
      <c r="A4" s="201"/>
      <c r="B4" s="197"/>
      <c r="C4" s="197"/>
      <c r="D4" s="197"/>
      <c r="E4" s="202"/>
    </row>
    <row r="5" spans="1:14" s="203" customFormat="1">
      <c r="A5" s="201"/>
      <c r="B5" s="204"/>
      <c r="C5" s="204"/>
      <c r="D5" s="201"/>
      <c r="E5" s="199"/>
      <c r="F5" s="205" t="s">
        <v>307</v>
      </c>
    </row>
    <row r="6" spans="1:14" s="209" customFormat="1" ht="41.25" customHeight="1">
      <c r="A6" s="206"/>
      <c r="B6" s="207" t="s">
        <v>495</v>
      </c>
      <c r="C6" s="207" t="s">
        <v>496</v>
      </c>
      <c r="D6" s="207" t="s">
        <v>497</v>
      </c>
      <c r="E6" s="207" t="s">
        <v>498</v>
      </c>
      <c r="F6" s="208" t="s">
        <v>307</v>
      </c>
    </row>
    <row r="7" spans="1:14" s="213" customFormat="1">
      <c r="A7" s="210" t="s">
        <v>499</v>
      </c>
      <c r="B7" s="211"/>
      <c r="C7" s="211"/>
      <c r="D7" s="212"/>
      <c r="E7" s="211"/>
    </row>
    <row r="8" spans="1:14" s="214" customFormat="1">
      <c r="A8" s="229" t="s">
        <v>500</v>
      </c>
      <c r="B8" s="211">
        <v>5902091.79</v>
      </c>
      <c r="C8" s="211">
        <f t="shared" ref="C8:C16" si="0">+D8-B8</f>
        <v>-2025563.8900000001</v>
      </c>
      <c r="D8" s="211">
        <v>3876527.9</v>
      </c>
      <c r="E8" s="211">
        <f>ROUND((+B8+D8)/2,0)</f>
        <v>4889310</v>
      </c>
      <c r="I8" s="215"/>
    </row>
    <row r="9" spans="1:14" s="214" customFormat="1">
      <c r="A9" s="229" t="s">
        <v>501</v>
      </c>
      <c r="B9" s="211">
        <v>559580.93000000005</v>
      </c>
      <c r="C9" s="211">
        <f t="shared" si="0"/>
        <v>92069.179999999935</v>
      </c>
      <c r="D9" s="211">
        <f>502451.28+149198.83</f>
        <v>651650.11</v>
      </c>
      <c r="E9" s="211">
        <f t="shared" ref="E9:E16" si="1">ROUND((+B9+D9)/2,0)</f>
        <v>605616</v>
      </c>
      <c r="I9" s="215"/>
    </row>
    <row r="10" spans="1:14" s="214" customFormat="1">
      <c r="A10" s="229" t="s">
        <v>502</v>
      </c>
      <c r="B10" s="211">
        <v>157337.04</v>
      </c>
      <c r="C10" s="211">
        <f t="shared" si="0"/>
        <v>35448.320000000007</v>
      </c>
      <c r="D10" s="211">
        <f>148886.98+43898.38</f>
        <v>192785.36000000002</v>
      </c>
      <c r="E10" s="211">
        <f t="shared" si="1"/>
        <v>175061</v>
      </c>
      <c r="I10" s="215"/>
    </row>
    <row r="11" spans="1:14" s="214" customFormat="1">
      <c r="A11" s="229" t="s">
        <v>503</v>
      </c>
      <c r="B11" s="211">
        <v>-1028744.41</v>
      </c>
      <c r="C11" s="211">
        <f t="shared" si="0"/>
        <v>-108707.21999999986</v>
      </c>
      <c r="D11" s="211">
        <f>-875500.47-261951.16</f>
        <v>-1137451.6299999999</v>
      </c>
      <c r="E11" s="211">
        <f t="shared" si="1"/>
        <v>-1083098</v>
      </c>
      <c r="I11" s="215"/>
    </row>
    <row r="12" spans="1:14" s="214" customFormat="1">
      <c r="A12" s="229" t="s">
        <v>504</v>
      </c>
      <c r="B12" s="211">
        <v>817132.06</v>
      </c>
      <c r="C12" s="211">
        <f t="shared" si="0"/>
        <v>-174995.76</v>
      </c>
      <c r="D12" s="211">
        <f>487320.36+154815.94</f>
        <v>642136.30000000005</v>
      </c>
      <c r="E12" s="211">
        <f t="shared" si="1"/>
        <v>729634</v>
      </c>
      <c r="I12" s="186"/>
    </row>
    <row r="13" spans="1:14" s="214" customFormat="1">
      <c r="A13" s="229" t="s">
        <v>505</v>
      </c>
      <c r="B13" s="211">
        <v>4496.26</v>
      </c>
      <c r="C13" s="211">
        <f t="shared" si="0"/>
        <v>-4496.26</v>
      </c>
      <c r="D13" s="211">
        <v>0</v>
      </c>
      <c r="E13" s="211">
        <f t="shared" si="1"/>
        <v>2248</v>
      </c>
      <c r="I13" s="186"/>
    </row>
    <row r="14" spans="1:14" s="214" customFormat="1">
      <c r="A14" s="229" t="s">
        <v>506</v>
      </c>
      <c r="B14" s="211">
        <v>734348.06</v>
      </c>
      <c r="C14" s="211">
        <f t="shared" si="0"/>
        <v>-74160.680000000051</v>
      </c>
      <c r="D14" s="211">
        <f>504121.93+156065.45</f>
        <v>660187.38</v>
      </c>
      <c r="E14" s="211">
        <f t="shared" si="1"/>
        <v>697268</v>
      </c>
      <c r="I14" s="186"/>
    </row>
    <row r="15" spans="1:14" s="214" customFormat="1">
      <c r="A15" s="229" t="s">
        <v>507</v>
      </c>
      <c r="B15" s="211">
        <v>12521626.119999999</v>
      </c>
      <c r="C15" s="211">
        <f t="shared" si="0"/>
        <v>377141.73000000045</v>
      </c>
      <c r="D15" s="211">
        <f>9903126.1+2995641.75</f>
        <v>12898767.85</v>
      </c>
      <c r="E15" s="211">
        <f t="shared" si="1"/>
        <v>12710197</v>
      </c>
      <c r="I15" s="215"/>
    </row>
    <row r="16" spans="1:14" s="214" customFormat="1">
      <c r="A16" s="229" t="s">
        <v>508</v>
      </c>
      <c r="B16" s="216">
        <v>0</v>
      </c>
      <c r="C16" s="216">
        <f t="shared" si="0"/>
        <v>-185870</v>
      </c>
      <c r="D16" s="216">
        <v>-185870</v>
      </c>
      <c r="E16" s="216">
        <f t="shared" si="1"/>
        <v>-92935</v>
      </c>
      <c r="I16" s="186"/>
      <c r="J16" s="200"/>
      <c r="K16" s="213"/>
      <c r="L16" s="213"/>
      <c r="M16" s="213"/>
      <c r="N16" s="213"/>
    </row>
    <row r="17" spans="1:14" s="213" customFormat="1">
      <c r="A17" s="213" t="s">
        <v>509</v>
      </c>
      <c r="B17" s="211">
        <f>SUM(B8:B16)</f>
        <v>19667867.850000001</v>
      </c>
      <c r="C17" s="211">
        <f>SUM(C8:C16)</f>
        <v>-2069134.5799999996</v>
      </c>
      <c r="D17" s="211">
        <f>SUM(D8:D16)</f>
        <v>17598733.27</v>
      </c>
      <c r="E17" s="211">
        <f>SUM(E8:E16)</f>
        <v>18633301</v>
      </c>
      <c r="H17" s="212"/>
      <c r="I17" s="217"/>
      <c r="J17" s="200"/>
      <c r="K17" s="200"/>
      <c r="L17" s="200"/>
      <c r="M17" s="200"/>
      <c r="N17" s="200"/>
    </row>
    <row r="18" spans="1:14" s="213" customFormat="1">
      <c r="A18" s="218"/>
      <c r="B18" s="211"/>
      <c r="C18" s="211"/>
      <c r="D18" s="212"/>
      <c r="E18" s="211"/>
      <c r="I18" s="215"/>
      <c r="J18" s="200"/>
      <c r="K18" s="200"/>
      <c r="L18" s="200"/>
      <c r="M18" s="200"/>
      <c r="N18" s="200"/>
    </row>
    <row r="19" spans="1:14" s="213" customFormat="1">
      <c r="A19" s="210" t="s">
        <v>510</v>
      </c>
      <c r="B19" s="211"/>
      <c r="C19" s="211"/>
      <c r="D19" s="212"/>
      <c r="E19" s="211"/>
      <c r="I19" s="215"/>
      <c r="J19" s="200"/>
      <c r="K19" s="200"/>
      <c r="L19" s="200"/>
      <c r="M19" s="200"/>
      <c r="N19" s="200"/>
    </row>
    <row r="20" spans="1:14" s="214" customFormat="1">
      <c r="A20" s="230" t="s">
        <v>511</v>
      </c>
      <c r="B20" s="219">
        <f>-361330088+3857537</f>
        <v>-357472551</v>
      </c>
      <c r="C20" s="216">
        <f>+D20-B20</f>
        <v>20823577</v>
      </c>
      <c r="D20" s="219">
        <f>-340284811+3635837</f>
        <v>-336648974</v>
      </c>
      <c r="E20" s="216">
        <f>ROUND((+B20+D20)/2,0)</f>
        <v>-347060763</v>
      </c>
      <c r="I20" s="215"/>
      <c r="J20" s="200"/>
      <c r="K20" s="200"/>
      <c r="L20" s="200"/>
      <c r="M20" s="200"/>
      <c r="N20" s="200"/>
    </row>
    <row r="21" spans="1:14" s="213" customFormat="1">
      <c r="A21" s="220" t="s">
        <v>512</v>
      </c>
      <c r="B21" s="211">
        <f>SUM(B20:B20)</f>
        <v>-357472551</v>
      </c>
      <c r="C21" s="211">
        <f>SUM(C20:C20)</f>
        <v>20823577</v>
      </c>
      <c r="D21" s="211">
        <f>SUM(D20:D20)</f>
        <v>-336648974</v>
      </c>
      <c r="E21" s="211">
        <f>SUM(E20:E20)</f>
        <v>-347060763</v>
      </c>
      <c r="I21" s="215"/>
      <c r="J21" s="200"/>
      <c r="K21" s="200"/>
      <c r="L21" s="200"/>
      <c r="M21" s="200"/>
      <c r="N21" s="200"/>
    </row>
    <row r="22" spans="1:14">
      <c r="A22" s="220"/>
      <c r="D22" s="212"/>
      <c r="E22" s="211"/>
      <c r="I22" s="215"/>
    </row>
    <row r="23" spans="1:14">
      <c r="A23" s="210" t="s">
        <v>513</v>
      </c>
      <c r="E23" s="211"/>
      <c r="I23" s="215"/>
    </row>
    <row r="24" spans="1:14">
      <c r="A24" s="230" t="s">
        <v>514</v>
      </c>
      <c r="B24" s="211">
        <v>-126385.99</v>
      </c>
      <c r="C24" s="211">
        <f t="shared" ref="C24:C29" si="2">+D24-B24</f>
        <v>61112.810000000012</v>
      </c>
      <c r="D24" s="211">
        <f>-48265.13-17008.05</f>
        <v>-65273.179999999993</v>
      </c>
      <c r="E24" s="211">
        <f>ROUND((+B24+D24)/2,0)</f>
        <v>-95830</v>
      </c>
      <c r="I24" s="215"/>
    </row>
    <row r="25" spans="1:14" s="214" customFormat="1">
      <c r="A25" s="230" t="s">
        <v>515</v>
      </c>
      <c r="B25" s="211">
        <v>-78027.5</v>
      </c>
      <c r="C25" s="211">
        <f t="shared" si="2"/>
        <v>48456.14</v>
      </c>
      <c r="D25" s="211">
        <f>-21256.71-8314.65</f>
        <v>-29571.360000000001</v>
      </c>
      <c r="E25" s="211">
        <f>ROUND((+B25+D25)/2,0)</f>
        <v>-53799</v>
      </c>
      <c r="I25" s="215"/>
      <c r="J25" s="200"/>
      <c r="K25" s="200"/>
      <c r="L25" s="200"/>
      <c r="M25" s="200"/>
      <c r="N25" s="200"/>
    </row>
    <row r="26" spans="1:14" s="214" customFormat="1">
      <c r="A26" s="230" t="s">
        <v>516</v>
      </c>
      <c r="B26" s="211">
        <v>-16272051.68</v>
      </c>
      <c r="C26" s="211">
        <f t="shared" si="2"/>
        <v>-4682562.7300000004</v>
      </c>
      <c r="D26" s="211">
        <f>-16207459.37-4747155.04</f>
        <v>-20954614.41</v>
      </c>
      <c r="E26" s="211">
        <f t="shared" ref="E26:E29" si="3">ROUND((+B26+D26)/2,0)</f>
        <v>-18613333</v>
      </c>
      <c r="I26" s="215"/>
      <c r="J26" s="200"/>
      <c r="K26" s="200"/>
      <c r="L26" s="200"/>
      <c r="M26" s="200"/>
      <c r="N26" s="200"/>
    </row>
    <row r="27" spans="1:14" s="214" customFormat="1">
      <c r="A27" s="230" t="s">
        <v>517</v>
      </c>
      <c r="B27" s="211">
        <v>-88664.26</v>
      </c>
      <c r="C27" s="211">
        <f t="shared" si="2"/>
        <v>23186.869999999995</v>
      </c>
      <c r="D27" s="211">
        <f>-49534.37-15943.02</f>
        <v>-65477.39</v>
      </c>
      <c r="E27" s="211">
        <f t="shared" si="3"/>
        <v>-77071</v>
      </c>
      <c r="I27" s="215"/>
      <c r="J27" s="200"/>
      <c r="K27" s="200"/>
      <c r="L27" s="200"/>
      <c r="M27" s="200"/>
      <c r="N27" s="200"/>
    </row>
    <row r="28" spans="1:14" s="214" customFormat="1">
      <c r="A28" s="230" t="s">
        <v>518</v>
      </c>
      <c r="B28" s="211">
        <v>-162129.85</v>
      </c>
      <c r="C28" s="211">
        <f t="shared" si="2"/>
        <v>-16738.149999999994</v>
      </c>
      <c r="D28" s="211">
        <v>-178868</v>
      </c>
      <c r="E28" s="211">
        <f t="shared" si="3"/>
        <v>-170499</v>
      </c>
      <c r="I28" s="215"/>
      <c r="J28" s="200"/>
      <c r="K28" s="200"/>
      <c r="L28" s="200"/>
      <c r="M28" s="200"/>
      <c r="N28" s="200"/>
    </row>
    <row r="29" spans="1:14" s="214" customFormat="1">
      <c r="A29" s="230" t="s">
        <v>519</v>
      </c>
      <c r="B29" s="216">
        <v>64042.15</v>
      </c>
      <c r="C29" s="216">
        <f t="shared" si="2"/>
        <v>6962.8499999999985</v>
      </c>
      <c r="D29" s="216">
        <v>71005</v>
      </c>
      <c r="E29" s="216">
        <f t="shared" si="3"/>
        <v>67524</v>
      </c>
      <c r="I29" s="215"/>
      <c r="J29" s="200"/>
      <c r="K29" s="200"/>
      <c r="L29" s="200"/>
      <c r="M29" s="200"/>
      <c r="N29" s="200"/>
    </row>
    <row r="30" spans="1:14" s="213" customFormat="1">
      <c r="A30" s="220" t="s">
        <v>520</v>
      </c>
      <c r="B30" s="221">
        <f>SUM(B24:B29)</f>
        <v>-16663217.129999999</v>
      </c>
      <c r="C30" s="221">
        <f>SUM(C24:C29)</f>
        <v>-4559582.2100000009</v>
      </c>
      <c r="D30" s="221">
        <f t="shared" ref="D30:E30" si="4">SUM(D24:D29)</f>
        <v>-21222799.34</v>
      </c>
      <c r="E30" s="221">
        <f t="shared" si="4"/>
        <v>-18943008</v>
      </c>
      <c r="H30" s="212"/>
      <c r="I30" s="200"/>
      <c r="J30" s="200"/>
      <c r="K30" s="200"/>
      <c r="L30" s="200"/>
      <c r="M30" s="200"/>
      <c r="N30" s="200"/>
    </row>
    <row r="31" spans="1:14">
      <c r="A31" s="220"/>
      <c r="D31" s="212"/>
      <c r="E31" s="211"/>
    </row>
    <row r="32" spans="1:14" ht="13.5" thickBot="1">
      <c r="A32" s="220" t="s">
        <v>521</v>
      </c>
      <c r="B32" s="222">
        <f>SUM(B17,B21,B30)</f>
        <v>-354467900.27999997</v>
      </c>
      <c r="C32" s="222">
        <f>SUM(C17,C21,C30)</f>
        <v>14194860.210000001</v>
      </c>
      <c r="D32" s="222">
        <f>SUM(D17,D21,D30)</f>
        <v>-340273040.06999999</v>
      </c>
      <c r="E32" s="222">
        <f>SUM(E17,E21,E30)</f>
        <v>-347370470</v>
      </c>
    </row>
    <row r="33" spans="1:5" ht="13.5" thickTop="1">
      <c r="A33" s="223"/>
      <c r="E33" s="211"/>
    </row>
    <row r="34" spans="1:5">
      <c r="B34" s="224"/>
      <c r="C34" s="224"/>
      <c r="E34" s="211"/>
    </row>
    <row r="35" spans="1:5">
      <c r="B35" s="225" t="s">
        <v>522</v>
      </c>
      <c r="C35" s="211">
        <f>-C32</f>
        <v>-14194860.210000001</v>
      </c>
      <c r="E35" s="211"/>
    </row>
    <row r="36" spans="1:5">
      <c r="B36" s="225" t="s">
        <v>523</v>
      </c>
      <c r="C36" s="211">
        <v>-221700</v>
      </c>
      <c r="E36" s="211"/>
    </row>
    <row r="37" spans="1:5">
      <c r="B37" s="225" t="s">
        <v>524</v>
      </c>
      <c r="C37" s="211">
        <v>50890271</v>
      </c>
      <c r="D37" s="211" t="s">
        <v>525</v>
      </c>
      <c r="E37" s="211"/>
    </row>
    <row r="38" spans="1:5" ht="13.5" thickBot="1">
      <c r="B38" s="225" t="s">
        <v>526</v>
      </c>
      <c r="C38" s="226">
        <f>SUM(C35:C37)</f>
        <v>36473710.789999999</v>
      </c>
      <c r="E38" s="211"/>
    </row>
    <row r="39" spans="1:5" ht="13.5" thickTop="1">
      <c r="B39" s="225"/>
      <c r="E39" s="211"/>
    </row>
    <row r="40" spans="1:5">
      <c r="B40" s="225"/>
      <c r="E40" s="211"/>
    </row>
    <row r="50" spans="2:3">
      <c r="B50" s="227"/>
      <c r="C50" s="228"/>
    </row>
  </sheetData>
  <printOptions horizontalCentered="1"/>
  <pageMargins left="1" right="1" top="1" bottom="1" header="0.3" footer="0.3"/>
  <pageSetup scale="67" fitToWidth="0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9">
    <pageSetUpPr fitToPage="1"/>
  </sheetPr>
  <dimension ref="A1:AB42"/>
  <sheetViews>
    <sheetView zoomScale="90" zoomScaleNormal="90" workbookViewId="0">
      <selection activeCell="C42" sqref="C42"/>
    </sheetView>
  </sheetViews>
  <sheetFormatPr defaultColWidth="9" defaultRowHeight="12.75"/>
  <cols>
    <col min="1" max="1" width="9" style="1"/>
    <col min="2" max="2" width="3.375" style="1" customWidth="1"/>
    <col min="3" max="3" width="53.75" style="1" customWidth="1"/>
    <col min="4" max="4" width="2.75" style="1" customWidth="1"/>
    <col min="5" max="5" width="15.875" style="1" customWidth="1"/>
    <col min="6" max="6" width="3" style="1" customWidth="1"/>
    <col min="7" max="7" width="13.25" style="1" bestFit="1" customWidth="1"/>
    <col min="8" max="8" width="2.625" style="1" customWidth="1"/>
    <col min="9" max="9" width="15.375" style="1" bestFit="1" customWidth="1"/>
    <col min="10" max="10" width="2.375" style="1" customWidth="1"/>
    <col min="11" max="11" width="11.75" style="1" customWidth="1"/>
    <col min="12" max="12" width="1.875" style="1" customWidth="1"/>
    <col min="13" max="13" width="0" style="1" hidden="1" customWidth="1"/>
    <col min="14" max="14" width="1.875" style="1" hidden="1" customWidth="1"/>
    <col min="15" max="15" width="16.75" style="1" bestFit="1" customWidth="1"/>
    <col min="16" max="16" width="1.75" style="1" customWidth="1"/>
    <col min="17" max="17" width="16.75" style="1" bestFit="1" customWidth="1"/>
    <col min="18" max="18" width="4.75" style="1" bestFit="1" customWidth="1"/>
    <col min="19" max="19" width="1.75" style="1" customWidth="1"/>
    <col min="20" max="20" width="15.375" style="1" bestFit="1" customWidth="1"/>
    <col min="21" max="21" width="1.375" style="1" customWidth="1"/>
    <col min="22" max="22" width="10.875" style="1" hidden="1" customWidth="1"/>
    <col min="23" max="23" width="1.75" style="1" hidden="1" customWidth="1"/>
    <col min="24" max="24" width="14" style="1" bestFit="1" customWidth="1"/>
    <col min="25" max="25" width="2.375" style="1" customWidth="1"/>
    <col min="26" max="26" width="0" style="1" hidden="1" customWidth="1"/>
    <col min="27" max="27" width="2.375" style="1" hidden="1" customWidth="1"/>
    <col min="28" max="28" width="15.375" style="1" bestFit="1" customWidth="1"/>
    <col min="29" max="16384" width="9" style="1"/>
  </cols>
  <sheetData>
    <row r="1" spans="1:28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</row>
    <row r="2" spans="1:28">
      <c r="A2" s="231" t="s">
        <v>527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</row>
    <row r="3" spans="1:28">
      <c r="A3" s="231" t="str">
        <f>AccAmort!A4</f>
        <v>For The Thirteen Months Ended December 31, 2025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</row>
    <row r="4" spans="1:28">
      <c r="A4" s="47"/>
      <c r="B4" s="47"/>
      <c r="C4" s="47"/>
      <c r="D4" s="47"/>
      <c r="E4" s="47"/>
    </row>
    <row r="5" spans="1:28">
      <c r="A5" s="2">
        <v>-1</v>
      </c>
      <c r="C5" s="2">
        <v>-2</v>
      </c>
      <c r="D5" s="2"/>
      <c r="E5" s="2">
        <v>-3</v>
      </c>
      <c r="F5" s="3"/>
      <c r="G5" s="2">
        <v>-4</v>
      </c>
      <c r="H5" s="2"/>
      <c r="I5" s="2">
        <v>-5</v>
      </c>
      <c r="J5" s="2"/>
      <c r="K5" s="2">
        <v>-6</v>
      </c>
      <c r="L5" s="2"/>
      <c r="M5" s="2">
        <v>-7</v>
      </c>
      <c r="N5" s="2"/>
      <c r="O5" s="2">
        <v>-7</v>
      </c>
      <c r="P5" s="2"/>
      <c r="Q5" s="2">
        <v>-8</v>
      </c>
      <c r="R5" s="2"/>
      <c r="S5" s="2"/>
      <c r="T5" s="2">
        <v>-9</v>
      </c>
      <c r="U5" s="2"/>
      <c r="V5" s="2">
        <v>-11</v>
      </c>
      <c r="X5" s="2">
        <v>-10</v>
      </c>
      <c r="Y5" s="4"/>
      <c r="Z5" s="2">
        <v>-13</v>
      </c>
      <c r="AA5" s="2"/>
      <c r="AB5" s="2">
        <v>-11</v>
      </c>
    </row>
    <row r="6" spans="1:28">
      <c r="E6" s="5"/>
      <c r="F6" s="3"/>
      <c r="G6" s="3"/>
      <c r="H6" s="3"/>
      <c r="J6" s="3"/>
      <c r="K6" s="232" t="s">
        <v>3</v>
      </c>
      <c r="L6" s="232"/>
      <c r="M6" s="232"/>
      <c r="N6" s="232"/>
      <c r="O6" s="232"/>
      <c r="P6" s="6"/>
      <c r="Q6" s="3"/>
      <c r="R6" s="3"/>
      <c r="S6" s="3"/>
      <c r="T6" s="7" t="s">
        <v>4</v>
      </c>
      <c r="U6" s="3"/>
      <c r="V6" s="3"/>
      <c r="W6" s="5"/>
      <c r="X6" s="5"/>
      <c r="Y6" s="5"/>
      <c r="AA6" s="5"/>
    </row>
    <row r="7" spans="1:28">
      <c r="A7" s="8" t="s">
        <v>5</v>
      </c>
      <c r="B7" s="8"/>
      <c r="E7" s="5">
        <v>2024</v>
      </c>
      <c r="F7" s="3"/>
      <c r="G7" s="5">
        <v>2024</v>
      </c>
      <c r="H7" s="3"/>
      <c r="I7" s="5">
        <v>2024</v>
      </c>
      <c r="J7" s="6"/>
      <c r="K7" s="5">
        <v>2024</v>
      </c>
      <c r="L7" s="6"/>
      <c r="M7" s="6" t="s">
        <v>6</v>
      </c>
      <c r="N7" s="6"/>
      <c r="O7" s="6"/>
      <c r="P7" s="6"/>
      <c r="Q7" s="6"/>
      <c r="R7" s="6" t="s">
        <v>7</v>
      </c>
      <c r="S7" s="6"/>
      <c r="T7" s="9" t="s">
        <v>8</v>
      </c>
      <c r="U7" s="6"/>
      <c r="V7" s="6"/>
      <c r="W7" s="6"/>
      <c r="X7" s="8"/>
      <c r="Y7" s="5"/>
      <c r="Z7" s="8" t="s">
        <v>9</v>
      </c>
      <c r="AA7" s="8"/>
      <c r="AB7" s="5" t="s">
        <v>4</v>
      </c>
    </row>
    <row r="8" spans="1:28">
      <c r="A8" s="10" t="s">
        <v>10</v>
      </c>
      <c r="B8" s="8"/>
      <c r="C8" s="10" t="s">
        <v>392</v>
      </c>
      <c r="E8" s="11" t="s">
        <v>12</v>
      </c>
      <c r="F8" s="3"/>
      <c r="G8" s="12" t="s">
        <v>13</v>
      </c>
      <c r="H8" s="6"/>
      <c r="I8" s="13" t="s">
        <v>14</v>
      </c>
      <c r="J8" s="6"/>
      <c r="K8" s="13" t="s">
        <v>14</v>
      </c>
      <c r="L8" s="6"/>
      <c r="M8" s="13" t="s">
        <v>15</v>
      </c>
      <c r="N8" s="6"/>
      <c r="O8" s="14" t="s">
        <v>16</v>
      </c>
      <c r="P8" s="9"/>
      <c r="Q8" s="13" t="s">
        <v>17</v>
      </c>
      <c r="R8" s="13" t="s">
        <v>10</v>
      </c>
      <c r="S8" s="6"/>
      <c r="T8" s="14" t="s">
        <v>18</v>
      </c>
      <c r="U8" s="6"/>
      <c r="V8" s="13" t="s">
        <v>19</v>
      </c>
      <c r="W8" s="6"/>
      <c r="X8" s="10" t="s">
        <v>20</v>
      </c>
      <c r="Y8" s="8"/>
      <c r="Z8" s="10" t="s">
        <v>21</v>
      </c>
      <c r="AA8" s="8"/>
      <c r="AB8" s="10" t="s">
        <v>18</v>
      </c>
    </row>
    <row r="9" spans="1:28">
      <c r="A9" s="8"/>
      <c r="B9" s="8"/>
      <c r="E9" s="68"/>
    </row>
    <row r="11" spans="1:28">
      <c r="A11" s="8" t="s">
        <v>249</v>
      </c>
      <c r="B11" s="21"/>
      <c r="C11" s="39" t="s">
        <v>393</v>
      </c>
      <c r="D11" s="17"/>
      <c r="E11" s="19">
        <v>37489822.649999999</v>
      </c>
      <c r="G11" s="19">
        <v>-10000000</v>
      </c>
      <c r="I11" s="19">
        <f>SUM(E11:H11)</f>
        <v>27489822.649999999</v>
      </c>
      <c r="K11" s="19"/>
      <c r="L11" s="19"/>
      <c r="M11" s="19">
        <v>0</v>
      </c>
      <c r="N11" s="19"/>
      <c r="O11" s="19">
        <v>-615037</v>
      </c>
      <c r="P11" s="19"/>
      <c r="Q11" s="19">
        <f>+K11+M11+O11</f>
        <v>-615037</v>
      </c>
      <c r="R11" s="19"/>
      <c r="S11" s="19"/>
      <c r="T11" s="19">
        <f>I11+Q11</f>
        <v>26874785.649999999</v>
      </c>
      <c r="U11" s="19"/>
      <c r="V11" s="19">
        <v>0</v>
      </c>
      <c r="W11" s="19"/>
      <c r="X11" s="19">
        <v>0</v>
      </c>
      <c r="Y11" s="19"/>
      <c r="Z11" s="19">
        <v>0</v>
      </c>
      <c r="AA11" s="19"/>
      <c r="AB11" s="19">
        <f>+T11+V11+X11+Z11</f>
        <v>26874785.649999999</v>
      </c>
    </row>
    <row r="12" spans="1:28">
      <c r="B12" s="21"/>
      <c r="G12" s="24"/>
      <c r="I12" s="24"/>
      <c r="K12" s="24"/>
      <c r="L12" s="24"/>
      <c r="M12" s="24"/>
      <c r="N12" s="24"/>
      <c r="O12" s="24"/>
      <c r="P12" s="24"/>
      <c r="Q12" s="24"/>
      <c r="R12" s="24"/>
      <c r="S12" s="24"/>
      <c r="T12" s="19"/>
      <c r="U12" s="24"/>
      <c r="V12" s="24"/>
      <c r="W12" s="24"/>
      <c r="X12" s="24"/>
      <c r="Y12" s="24"/>
      <c r="Z12" s="24"/>
      <c r="AB12" s="24"/>
    </row>
    <row r="13" spans="1:28">
      <c r="A13" s="8" t="s">
        <v>251</v>
      </c>
      <c r="B13" s="21"/>
      <c r="C13" s="39" t="s">
        <v>394</v>
      </c>
      <c r="D13" s="17"/>
      <c r="E13" s="24">
        <v>37848280.699999996</v>
      </c>
      <c r="G13" s="24">
        <v>-10000000</v>
      </c>
      <c r="I13" s="24">
        <f>SUM(E13:H13)</f>
        <v>27848280.699999996</v>
      </c>
      <c r="K13" s="24"/>
      <c r="L13" s="24"/>
      <c r="M13" s="24">
        <v>0</v>
      </c>
      <c r="N13" s="24"/>
      <c r="O13" s="24">
        <v>-1277074</v>
      </c>
      <c r="P13" s="24"/>
      <c r="Q13" s="24">
        <f>+K13+M13+O13</f>
        <v>-1277074</v>
      </c>
      <c r="R13" s="24"/>
      <c r="S13" s="24"/>
      <c r="T13" s="24">
        <f t="shared" ref="T13:T35" si="0">I13+Q13</f>
        <v>26571206.699999996</v>
      </c>
      <c r="U13" s="24"/>
      <c r="V13" s="24">
        <v>0</v>
      </c>
      <c r="W13" s="24"/>
      <c r="X13" s="24">
        <v>0</v>
      </c>
      <c r="Y13" s="24"/>
      <c r="Z13" s="24">
        <v>0</v>
      </c>
      <c r="AB13" s="24">
        <f t="shared" ref="AB13" si="1">+T13+V13+X13+Z13</f>
        <v>26571206.699999996</v>
      </c>
    </row>
    <row r="14" spans="1:28">
      <c r="B14" s="21"/>
      <c r="C14" s="39"/>
      <c r="E14" s="24"/>
      <c r="G14" s="65"/>
      <c r="H14" s="62"/>
      <c r="I14" s="65"/>
      <c r="J14" s="62"/>
      <c r="K14" s="65"/>
      <c r="L14" s="62"/>
      <c r="M14" s="65"/>
      <c r="N14" s="65"/>
      <c r="O14" s="65"/>
      <c r="P14" s="62"/>
      <c r="Q14" s="65"/>
      <c r="R14" s="65"/>
      <c r="S14" s="63"/>
      <c r="T14" s="65"/>
      <c r="U14" s="62"/>
      <c r="V14" s="65"/>
      <c r="W14" s="62"/>
      <c r="X14" s="65"/>
      <c r="Y14" s="62"/>
      <c r="Z14" s="65"/>
      <c r="AA14" s="65"/>
      <c r="AB14" s="65"/>
    </row>
    <row r="15" spans="1:28">
      <c r="A15" s="8" t="s">
        <v>253</v>
      </c>
      <c r="B15" s="21"/>
      <c r="C15" s="39" t="s">
        <v>395</v>
      </c>
      <c r="D15" s="17"/>
      <c r="E15" s="24">
        <v>39796730.659999996</v>
      </c>
      <c r="G15" s="24">
        <v>-10000000</v>
      </c>
      <c r="I15" s="24">
        <f>SUM(E15:H15)</f>
        <v>29796730.659999996</v>
      </c>
      <c r="K15" s="24"/>
      <c r="L15" s="24"/>
      <c r="M15" s="24">
        <v>0</v>
      </c>
      <c r="N15" s="24"/>
      <c r="O15" s="24">
        <v>-3879149</v>
      </c>
      <c r="P15" s="24"/>
      <c r="Q15" s="24">
        <f>+K15+M15+O15</f>
        <v>-3879149</v>
      </c>
      <c r="R15" s="24"/>
      <c r="S15" s="24"/>
      <c r="T15" s="24">
        <f t="shared" si="0"/>
        <v>25917581.659999996</v>
      </c>
      <c r="U15" s="24"/>
      <c r="V15" s="24">
        <v>0</v>
      </c>
      <c r="W15" s="24"/>
      <c r="X15" s="24">
        <v>0</v>
      </c>
      <c r="Y15" s="24"/>
      <c r="Z15" s="24">
        <v>0</v>
      </c>
      <c r="AB15" s="24">
        <f t="shared" ref="AB15" si="2">+T15+V15+X15+Z15</f>
        <v>25917581.659999996</v>
      </c>
    </row>
    <row r="16" spans="1:28">
      <c r="B16" s="21"/>
      <c r="C16" s="39"/>
      <c r="E16" s="24"/>
      <c r="G16" s="24"/>
    </row>
    <row r="17" spans="1:28">
      <c r="A17" s="8" t="s">
        <v>255</v>
      </c>
      <c r="B17" s="21"/>
      <c r="C17" s="39" t="s">
        <v>396</v>
      </c>
      <c r="D17" s="17"/>
      <c r="E17" s="24">
        <v>43026864.519999996</v>
      </c>
      <c r="G17" s="24">
        <v>-10000000</v>
      </c>
      <c r="I17" s="24">
        <f>SUM(E17:H17)</f>
        <v>33026864.519999996</v>
      </c>
      <c r="K17" s="24"/>
      <c r="L17" s="24"/>
      <c r="M17" s="24">
        <v>0</v>
      </c>
      <c r="N17" s="24"/>
      <c r="O17" s="24">
        <v>-7966523</v>
      </c>
      <c r="P17" s="24"/>
      <c r="Q17" s="24">
        <f>+K17+M17+O17</f>
        <v>-7966523</v>
      </c>
      <c r="R17" s="24"/>
      <c r="S17" s="24"/>
      <c r="T17" s="24">
        <f t="shared" si="0"/>
        <v>25060341.519999996</v>
      </c>
      <c r="U17" s="24"/>
      <c r="V17" s="24">
        <v>0</v>
      </c>
      <c r="W17" s="24"/>
      <c r="X17" s="24">
        <v>0</v>
      </c>
      <c r="Y17" s="24"/>
      <c r="Z17" s="24">
        <v>0</v>
      </c>
      <c r="AB17" s="24">
        <f t="shared" ref="AB17" si="3">+T17+V17+X17+Z17</f>
        <v>25060341.519999996</v>
      </c>
    </row>
    <row r="18" spans="1:28">
      <c r="B18" s="21"/>
      <c r="C18" s="39"/>
      <c r="E18" s="24"/>
      <c r="G18" s="65"/>
      <c r="H18" s="62"/>
      <c r="I18" s="65"/>
      <c r="J18" s="62"/>
      <c r="K18" s="65"/>
      <c r="L18" s="62"/>
      <c r="M18" s="65"/>
      <c r="N18" s="65"/>
      <c r="O18" s="65"/>
      <c r="P18" s="62"/>
      <c r="Q18" s="65"/>
      <c r="R18" s="65"/>
      <c r="S18" s="63"/>
      <c r="T18" s="65"/>
      <c r="U18" s="62"/>
      <c r="V18" s="65"/>
      <c r="W18" s="62"/>
      <c r="X18" s="65"/>
      <c r="Y18" s="62"/>
      <c r="Z18" s="65"/>
      <c r="AA18" s="65"/>
      <c r="AB18" s="65"/>
    </row>
    <row r="19" spans="1:28">
      <c r="A19" s="8" t="s">
        <v>258</v>
      </c>
      <c r="B19" s="21"/>
      <c r="C19" s="39" t="s">
        <v>397</v>
      </c>
      <c r="D19" s="17"/>
      <c r="E19" s="24">
        <v>47727651.689999998</v>
      </c>
      <c r="G19" s="24">
        <v>-10000000</v>
      </c>
      <c r="I19" s="24">
        <f>SUM(E19:H19)</f>
        <v>37727651.689999998</v>
      </c>
      <c r="K19" s="24"/>
      <c r="L19" s="24"/>
      <c r="M19" s="24">
        <v>0</v>
      </c>
      <c r="N19" s="24"/>
      <c r="O19" s="24">
        <v>-14577545</v>
      </c>
      <c r="P19" s="24"/>
      <c r="Q19" s="24">
        <f>+K19+M19+O19</f>
        <v>-14577545</v>
      </c>
      <c r="R19" s="24"/>
      <c r="S19" s="24"/>
      <c r="T19" s="24">
        <f t="shared" si="0"/>
        <v>23150106.689999998</v>
      </c>
      <c r="U19" s="24"/>
      <c r="V19" s="24">
        <v>0</v>
      </c>
      <c r="W19" s="24"/>
      <c r="X19" s="24">
        <v>0</v>
      </c>
      <c r="Y19" s="24"/>
      <c r="Z19" s="24">
        <v>0</v>
      </c>
      <c r="AB19" s="24">
        <f t="shared" ref="AB19" si="4">+T19+V19+X19+Z19</f>
        <v>23150106.689999998</v>
      </c>
    </row>
    <row r="20" spans="1:28">
      <c r="B20" s="21"/>
      <c r="C20" s="39"/>
      <c r="E20" s="24"/>
      <c r="G20" s="24"/>
    </row>
    <row r="21" spans="1:28">
      <c r="A21" s="8" t="s">
        <v>260</v>
      </c>
      <c r="B21" s="21"/>
      <c r="C21" s="39" t="s">
        <v>398</v>
      </c>
      <c r="D21" s="17"/>
      <c r="E21" s="24">
        <v>48166256.019999996</v>
      </c>
      <c r="G21" s="24">
        <v>-10000000</v>
      </c>
      <c r="I21" s="24">
        <f>SUM(E21:H21)</f>
        <v>38166256.019999996</v>
      </c>
      <c r="K21" s="24"/>
      <c r="L21" s="24"/>
      <c r="M21" s="24">
        <v>0</v>
      </c>
      <c r="N21" s="24"/>
      <c r="O21" s="24">
        <v>-15510318</v>
      </c>
      <c r="P21" s="24"/>
      <c r="Q21" s="24">
        <f>+K21+M21+O21</f>
        <v>-15510318</v>
      </c>
      <c r="R21" s="24"/>
      <c r="S21" s="24"/>
      <c r="T21" s="24">
        <f t="shared" si="0"/>
        <v>22655938.019999996</v>
      </c>
      <c r="U21" s="24"/>
      <c r="V21" s="24">
        <v>0</v>
      </c>
      <c r="W21" s="24"/>
      <c r="X21" s="24">
        <v>0</v>
      </c>
      <c r="Y21" s="24"/>
      <c r="Z21" s="24">
        <v>0</v>
      </c>
      <c r="AB21" s="24">
        <f t="shared" ref="AB21" si="5">+T21+V21+X21+Z21</f>
        <v>22655938.019999996</v>
      </c>
    </row>
    <row r="22" spans="1:28">
      <c r="B22" s="21"/>
      <c r="C22" s="39"/>
      <c r="E22" s="24"/>
      <c r="G22" s="65"/>
      <c r="H22" s="62"/>
      <c r="I22" s="65"/>
      <c r="J22" s="62"/>
      <c r="K22" s="65"/>
      <c r="L22" s="62"/>
      <c r="M22" s="65"/>
      <c r="N22" s="65"/>
      <c r="O22" s="65"/>
      <c r="P22" s="62"/>
      <c r="Q22" s="65"/>
      <c r="R22" s="65"/>
      <c r="S22" s="63"/>
      <c r="T22" s="65"/>
      <c r="U22" s="62"/>
      <c r="V22" s="65"/>
      <c r="W22" s="62"/>
      <c r="X22" s="65"/>
      <c r="Y22" s="62"/>
      <c r="Z22" s="65"/>
      <c r="AA22" s="65"/>
      <c r="AB22" s="65"/>
    </row>
    <row r="23" spans="1:28">
      <c r="A23" s="8" t="s">
        <v>262</v>
      </c>
      <c r="B23" s="21"/>
      <c r="C23" s="39" t="s">
        <v>399</v>
      </c>
      <c r="D23" s="17"/>
      <c r="E23" s="24">
        <v>48698811.509999998</v>
      </c>
      <c r="G23" s="24">
        <v>-10000000</v>
      </c>
      <c r="I23" s="24">
        <f>SUM(E23:H23)</f>
        <v>38698811.509999998</v>
      </c>
      <c r="K23" s="24"/>
      <c r="L23" s="24"/>
      <c r="M23" s="24">
        <v>0</v>
      </c>
      <c r="N23" s="24"/>
      <c r="O23" s="24">
        <v>-17080170</v>
      </c>
      <c r="P23" s="24"/>
      <c r="Q23" s="24">
        <f>+K23+M23+O23</f>
        <v>-17080170</v>
      </c>
      <c r="R23" s="24"/>
      <c r="S23" s="24"/>
      <c r="T23" s="24">
        <f t="shared" si="0"/>
        <v>21618641.509999998</v>
      </c>
      <c r="U23" s="24"/>
      <c r="V23" s="24">
        <v>0</v>
      </c>
      <c r="W23" s="24"/>
      <c r="X23" s="24">
        <v>0</v>
      </c>
      <c r="Y23" s="24"/>
      <c r="Z23" s="24">
        <v>0</v>
      </c>
      <c r="AB23" s="24">
        <f t="shared" ref="AB23" si="6">+T23+V23+X23+Z23</f>
        <v>21618641.509999998</v>
      </c>
    </row>
    <row r="24" spans="1:28">
      <c r="B24" s="21"/>
      <c r="C24" s="39"/>
      <c r="E24" s="24"/>
      <c r="G24" s="24"/>
    </row>
    <row r="25" spans="1:28">
      <c r="A25" s="8" t="s">
        <v>264</v>
      </c>
      <c r="B25" s="21"/>
      <c r="C25" s="39" t="s">
        <v>400</v>
      </c>
      <c r="D25" s="17"/>
      <c r="E25" s="24">
        <v>54979117.409999996</v>
      </c>
      <c r="G25" s="24">
        <v>-10000000</v>
      </c>
      <c r="I25" s="24">
        <f>SUM(E25:H25)</f>
        <v>44979117.409999996</v>
      </c>
      <c r="K25" s="24"/>
      <c r="L25" s="24"/>
      <c r="M25" s="24">
        <v>0</v>
      </c>
      <c r="N25" s="24"/>
      <c r="O25" s="24">
        <v>-24657217</v>
      </c>
      <c r="P25" s="24"/>
      <c r="Q25" s="24">
        <f>+K25+M25+O25</f>
        <v>-24657217</v>
      </c>
      <c r="R25" s="24"/>
      <c r="S25" s="24"/>
      <c r="T25" s="24">
        <f t="shared" si="0"/>
        <v>20321900.409999996</v>
      </c>
      <c r="U25" s="24"/>
      <c r="V25" s="24">
        <v>0</v>
      </c>
      <c r="W25" s="24"/>
      <c r="X25" s="24">
        <v>0</v>
      </c>
      <c r="Y25" s="24"/>
      <c r="Z25" s="24">
        <v>0</v>
      </c>
      <c r="AB25" s="24">
        <f t="shared" ref="AB25" si="7">+T25+V25+X25+Z25</f>
        <v>20321900.409999996</v>
      </c>
    </row>
    <row r="26" spans="1:28">
      <c r="B26" s="21"/>
      <c r="C26" s="39"/>
      <c r="E26" s="24"/>
      <c r="G26" s="65"/>
      <c r="H26" s="62"/>
      <c r="I26" s="65"/>
      <c r="J26" s="62"/>
      <c r="K26" s="65"/>
      <c r="L26" s="62"/>
      <c r="M26" s="65"/>
      <c r="N26" s="65"/>
      <c r="O26" s="65"/>
      <c r="P26" s="62"/>
      <c r="Q26" s="65"/>
      <c r="R26" s="65"/>
      <c r="S26" s="63"/>
      <c r="T26" s="65"/>
      <c r="U26" s="62"/>
      <c r="V26" s="65"/>
      <c r="W26" s="62"/>
      <c r="X26" s="65"/>
      <c r="Y26" s="62"/>
      <c r="Z26" s="65"/>
      <c r="AA26" s="65"/>
      <c r="AB26" s="65"/>
    </row>
    <row r="27" spans="1:28">
      <c r="A27" s="8" t="s">
        <v>266</v>
      </c>
      <c r="B27" s="21"/>
      <c r="C27" s="39" t="s">
        <v>401</v>
      </c>
      <c r="D27" s="17"/>
      <c r="E27" s="24">
        <v>56512778.079999998</v>
      </c>
      <c r="G27" s="24">
        <v>-10000000</v>
      </c>
      <c r="I27" s="24">
        <f>SUM(E27:H27)</f>
        <v>46512778.079999998</v>
      </c>
      <c r="K27" s="24"/>
      <c r="L27" s="24"/>
      <c r="M27" s="24">
        <v>0</v>
      </c>
      <c r="N27" s="24"/>
      <c r="O27" s="24">
        <v>-27910727</v>
      </c>
      <c r="P27" s="24"/>
      <c r="Q27" s="24">
        <f>+K27+M27+O27</f>
        <v>-27910727</v>
      </c>
      <c r="R27" s="24"/>
      <c r="S27" s="24"/>
      <c r="T27" s="24">
        <f t="shared" si="0"/>
        <v>18602051.079999998</v>
      </c>
      <c r="U27" s="24"/>
      <c r="V27" s="24">
        <v>0</v>
      </c>
      <c r="W27" s="24"/>
      <c r="X27" s="24">
        <v>0</v>
      </c>
      <c r="Y27" s="24"/>
      <c r="Z27" s="24">
        <v>0</v>
      </c>
      <c r="AB27" s="24">
        <f t="shared" ref="AB27" si="8">+T27+V27+X27+Z27</f>
        <v>18602051.079999998</v>
      </c>
    </row>
    <row r="28" spans="1:28">
      <c r="B28" s="21"/>
      <c r="C28" s="39"/>
      <c r="E28" s="24"/>
      <c r="G28" s="24"/>
    </row>
    <row r="29" spans="1:28">
      <c r="A29" s="8" t="s">
        <v>402</v>
      </c>
      <c r="B29" s="21"/>
      <c r="C29" s="39" t="s">
        <v>403</v>
      </c>
      <c r="D29" s="17"/>
      <c r="E29" s="24">
        <v>56277251.899999999</v>
      </c>
      <c r="G29" s="24">
        <v>-10000000</v>
      </c>
      <c r="I29" s="24">
        <f>SUM(E29:H29)</f>
        <v>46277251.899999999</v>
      </c>
      <c r="K29" s="24"/>
      <c r="L29" s="24"/>
      <c r="M29" s="24">
        <v>0</v>
      </c>
      <c r="N29" s="24"/>
      <c r="O29" s="24">
        <v>-27447586</v>
      </c>
      <c r="P29" s="24"/>
      <c r="Q29" s="24">
        <f>+K29+M29+O29</f>
        <v>-27447586</v>
      </c>
      <c r="R29" s="24"/>
      <c r="S29" s="24"/>
      <c r="T29" s="24">
        <f t="shared" si="0"/>
        <v>18829665.899999999</v>
      </c>
      <c r="U29" s="24"/>
      <c r="V29" s="24">
        <v>0</v>
      </c>
      <c r="W29" s="24"/>
      <c r="X29" s="24">
        <v>0</v>
      </c>
      <c r="Y29" s="24"/>
      <c r="Z29" s="24">
        <v>0</v>
      </c>
      <c r="AB29" s="24">
        <f t="shared" ref="AB29" si="9">+T29+V29+X29+Z29</f>
        <v>18829665.899999999</v>
      </c>
    </row>
    <row r="30" spans="1:28">
      <c r="B30" s="21"/>
      <c r="C30" s="39"/>
      <c r="E30" s="24"/>
      <c r="G30" s="65"/>
      <c r="H30" s="62"/>
      <c r="I30" s="65"/>
      <c r="J30" s="62"/>
      <c r="K30" s="65"/>
      <c r="L30" s="62"/>
      <c r="M30" s="65"/>
      <c r="N30" s="65"/>
      <c r="O30" s="65"/>
      <c r="P30" s="62"/>
      <c r="Q30" s="65"/>
      <c r="R30" s="65"/>
      <c r="S30" s="63"/>
      <c r="T30" s="65"/>
      <c r="U30" s="62"/>
      <c r="V30" s="65"/>
      <c r="W30" s="62"/>
      <c r="X30" s="65"/>
      <c r="Y30" s="62"/>
      <c r="Z30" s="65"/>
      <c r="AA30" s="65"/>
      <c r="AB30" s="65"/>
    </row>
    <row r="31" spans="1:28">
      <c r="A31" s="8" t="s">
        <v>404</v>
      </c>
      <c r="B31" s="21"/>
      <c r="C31" s="39" t="s">
        <v>405</v>
      </c>
      <c r="D31" s="17"/>
      <c r="E31" s="24">
        <v>56457713.460000001</v>
      </c>
      <c r="G31" s="24">
        <v>-10000000</v>
      </c>
      <c r="I31" s="24">
        <f>SUM(E31:H31)</f>
        <v>46457713.460000001</v>
      </c>
      <c r="K31" s="24"/>
      <c r="L31" s="24"/>
      <c r="M31" s="24">
        <v>0</v>
      </c>
      <c r="N31" s="24"/>
      <c r="O31" s="24">
        <v>-27742495</v>
      </c>
      <c r="P31" s="24"/>
      <c r="Q31" s="24">
        <f>+K31+M31+O31</f>
        <v>-27742495</v>
      </c>
      <c r="R31" s="24"/>
      <c r="S31" s="24"/>
      <c r="T31" s="24">
        <f t="shared" si="0"/>
        <v>18715218.460000001</v>
      </c>
      <c r="U31" s="24"/>
      <c r="V31" s="24">
        <v>0</v>
      </c>
      <c r="W31" s="24"/>
      <c r="X31" s="24">
        <v>0</v>
      </c>
      <c r="Y31" s="24"/>
      <c r="Z31" s="24">
        <v>0</v>
      </c>
      <c r="AB31" s="24">
        <f t="shared" ref="AB31" si="10">+T31+V31+X31+Z31</f>
        <v>18715218.460000001</v>
      </c>
    </row>
    <row r="32" spans="1:28">
      <c r="B32" s="21"/>
      <c r="C32" s="39"/>
      <c r="E32" s="24"/>
      <c r="G32" s="24"/>
    </row>
    <row r="33" spans="1:28">
      <c r="A33" s="8" t="s">
        <v>406</v>
      </c>
      <c r="B33" s="21"/>
      <c r="C33" s="39" t="s">
        <v>407</v>
      </c>
      <c r="D33" s="17"/>
      <c r="E33" s="24">
        <v>57538068.030000001</v>
      </c>
      <c r="G33" s="24">
        <v>-10000000</v>
      </c>
      <c r="I33" s="24">
        <f>SUM(E33:H33)</f>
        <v>47538068.030000001</v>
      </c>
      <c r="K33" s="24"/>
      <c r="L33" s="24"/>
      <c r="M33" s="24">
        <v>0</v>
      </c>
      <c r="N33" s="24"/>
      <c r="O33" s="24">
        <v>-28765632</v>
      </c>
      <c r="P33" s="24"/>
      <c r="Q33" s="24">
        <f>+K33+M33+O33</f>
        <v>-28765632</v>
      </c>
      <c r="R33" s="24"/>
      <c r="S33" s="24"/>
      <c r="T33" s="24">
        <f t="shared" si="0"/>
        <v>18772436.030000001</v>
      </c>
      <c r="U33" s="24"/>
      <c r="V33" s="24">
        <v>0</v>
      </c>
      <c r="W33" s="24"/>
      <c r="X33" s="24">
        <v>0</v>
      </c>
      <c r="Y33" s="24"/>
      <c r="Z33" s="24">
        <v>0</v>
      </c>
      <c r="AB33" s="24">
        <f t="shared" ref="AB33" si="11">+T33+V33+X33+Z33</f>
        <v>18772436.030000001</v>
      </c>
    </row>
    <row r="34" spans="1:28">
      <c r="B34" s="21"/>
      <c r="C34" s="39"/>
      <c r="E34" s="24"/>
      <c r="G34" s="65"/>
      <c r="H34" s="62"/>
      <c r="I34" s="65"/>
      <c r="J34" s="62"/>
      <c r="K34" s="65"/>
      <c r="L34" s="62"/>
      <c r="M34" s="65"/>
      <c r="N34" s="65"/>
      <c r="O34" s="65"/>
      <c r="P34" s="62"/>
      <c r="Q34" s="65"/>
      <c r="R34" s="65"/>
      <c r="S34" s="63"/>
      <c r="T34" s="65"/>
      <c r="U34" s="62"/>
      <c r="V34" s="65"/>
      <c r="W34" s="62"/>
      <c r="X34" s="65"/>
      <c r="Y34" s="62"/>
      <c r="Z34" s="65"/>
      <c r="AA34" s="65"/>
      <c r="AB34" s="65"/>
    </row>
    <row r="35" spans="1:28">
      <c r="A35" s="8" t="s">
        <v>408</v>
      </c>
      <c r="B35" s="21"/>
      <c r="C35" s="39" t="s">
        <v>409</v>
      </c>
      <c r="D35" s="17"/>
      <c r="E35" s="24">
        <v>58546386.649999999</v>
      </c>
      <c r="G35" s="24">
        <v>-10000000</v>
      </c>
      <c r="I35" s="24">
        <f>SUM(E35:H35)</f>
        <v>48546386.649999999</v>
      </c>
      <c r="K35" s="24"/>
      <c r="L35" s="24"/>
      <c r="M35" s="24">
        <v>0</v>
      </c>
      <c r="N35" s="24"/>
      <c r="O35" s="24">
        <v>-29428381</v>
      </c>
      <c r="P35" s="24"/>
      <c r="Q35" s="24">
        <f>+K35+M35+O35</f>
        <v>-29428381</v>
      </c>
      <c r="R35" s="24"/>
      <c r="S35" s="24"/>
      <c r="T35" s="24">
        <f t="shared" si="0"/>
        <v>19118005.649999999</v>
      </c>
      <c r="U35" s="24"/>
      <c r="V35" s="24">
        <v>0</v>
      </c>
      <c r="W35" s="24"/>
      <c r="X35" s="24">
        <v>0</v>
      </c>
      <c r="Y35" s="24"/>
      <c r="Z35" s="24">
        <v>0</v>
      </c>
      <c r="AB35" s="24">
        <f t="shared" ref="AB35" si="12">+T35+V35+X35+Z35</f>
        <v>19118005.649999999</v>
      </c>
    </row>
    <row r="36" spans="1:28">
      <c r="E36" s="90"/>
      <c r="G36" s="90"/>
    </row>
    <row r="37" spans="1:28">
      <c r="E37" s="90"/>
      <c r="G37" s="90"/>
    </row>
    <row r="38" spans="1:28" ht="18.75" thickBot="1">
      <c r="A38" s="8" t="s">
        <v>410</v>
      </c>
      <c r="B38" s="8"/>
      <c r="C38" s="39" t="s">
        <v>411</v>
      </c>
      <c r="D38" s="17"/>
      <c r="E38" s="42">
        <f>SUM(E11:E35)/13</f>
        <v>49466594.867692299</v>
      </c>
      <c r="G38" s="42">
        <f>SUM(G11:G35)/13</f>
        <v>-10000000</v>
      </c>
      <c r="H38" s="120" t="s">
        <v>298</v>
      </c>
      <c r="I38" s="42">
        <f>SUM(I11:I35)/13</f>
        <v>39466594.867692299</v>
      </c>
      <c r="K38" s="19"/>
      <c r="M38" s="42">
        <f>SUM(M11:M37)/13</f>
        <v>0</v>
      </c>
      <c r="N38" s="19"/>
      <c r="O38" s="42">
        <f>SUM(O11:O35)/13</f>
        <v>-17450604.153846152</v>
      </c>
      <c r="Q38" s="42">
        <f>SUM(Q11:Q35)/13</f>
        <v>-17450604.153846152</v>
      </c>
      <c r="R38" s="97" t="s">
        <v>528</v>
      </c>
      <c r="T38" s="42">
        <f>SUM(T11:T35)/13</f>
        <v>22015990.713846151</v>
      </c>
      <c r="U38" s="19">
        <f>SUM(U11:U37)/13</f>
        <v>0</v>
      </c>
      <c r="V38" s="42">
        <f>SUM(V11:V37)/13</f>
        <v>0</v>
      </c>
      <c r="X38" s="42">
        <f>SUM(X11:X35)/13</f>
        <v>0</v>
      </c>
      <c r="Z38" s="42">
        <f>SUM(Z11:Z37)/13</f>
        <v>0</v>
      </c>
      <c r="AB38" s="42">
        <f>SUM(AB11:AB35)/13</f>
        <v>22015990.713846151</v>
      </c>
    </row>
    <row r="39" spans="1:28" ht="13.5" thickTop="1">
      <c r="V39" s="16"/>
      <c r="W39" s="16"/>
      <c r="X39" s="16"/>
    </row>
    <row r="40" spans="1:28">
      <c r="B40" s="21" t="s">
        <v>298</v>
      </c>
      <c r="C40" s="1" t="s">
        <v>529</v>
      </c>
    </row>
    <row r="42" spans="1:28">
      <c r="A42" s="17"/>
    </row>
  </sheetData>
  <mergeCells count="4">
    <mergeCell ref="A1:AB1"/>
    <mergeCell ref="A2:AB2"/>
    <mergeCell ref="A3:AB3"/>
    <mergeCell ref="K6:O6"/>
  </mergeCells>
  <phoneticPr fontId="0" type="noConversion"/>
  <printOptions horizontalCentered="1"/>
  <pageMargins left="1" right="1" top="1" bottom="1" header="0.3" footer="0.3"/>
  <pageSetup scale="51" pageOrder="overThenDown" orientation="landscape" r:id="rId1"/>
  <headerFooter alignWithMargins="0">
    <oddFooter>&amp;RExhibit No. 18
Case No. IPC-E-25-16
P. Jeppsen, IPC
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0">
    <pageSetUpPr fitToPage="1"/>
  </sheetPr>
  <dimension ref="A1:U78"/>
  <sheetViews>
    <sheetView zoomScale="90" zoomScaleNormal="90" workbookViewId="0">
      <selection activeCell="C42" sqref="C42"/>
    </sheetView>
  </sheetViews>
  <sheetFormatPr defaultColWidth="11" defaultRowHeight="12.75"/>
  <cols>
    <col min="1" max="1" width="11" style="99"/>
    <col min="2" max="2" width="3" style="102" customWidth="1"/>
    <col min="3" max="3" width="22.125" style="99" customWidth="1"/>
    <col min="4" max="4" width="3" style="99" customWidth="1"/>
    <col min="5" max="5" width="16.125" style="99" bestFit="1" customWidth="1"/>
    <col min="6" max="6" width="19.375" style="99" customWidth="1"/>
    <col min="7" max="7" width="16" style="99" customWidth="1"/>
    <col min="8" max="8" width="2.125" style="99" customWidth="1"/>
    <col min="9" max="9" width="15" style="99" bestFit="1" customWidth="1"/>
    <col min="10" max="11" width="14.875" style="99" customWidth="1"/>
    <col min="12" max="12" width="2.125" style="99" customWidth="1"/>
    <col min="13" max="13" width="16.125" style="99" bestFit="1" customWidth="1"/>
    <col min="14" max="15" width="16" style="99" customWidth="1"/>
    <col min="16" max="16" width="2.125" style="99" customWidth="1"/>
    <col min="17" max="17" width="16" style="99" bestFit="1" customWidth="1"/>
    <col min="18" max="18" width="16" style="99" customWidth="1"/>
    <col min="19" max="19" width="4.625" style="99" bestFit="1" customWidth="1"/>
    <col min="20" max="20" width="16" style="99" customWidth="1"/>
    <col min="21" max="16384" width="11" style="99"/>
  </cols>
  <sheetData>
    <row r="1" spans="1:20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0">
      <c r="A2" s="98" t="s">
        <v>530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spans="1:20">
      <c r="A3" s="100" t="s">
        <v>391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</row>
    <row r="4" spans="1:20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</row>
    <row r="6" spans="1:20">
      <c r="E6" s="101" t="s">
        <v>531</v>
      </c>
      <c r="F6" s="101"/>
      <c r="G6" s="101"/>
      <c r="H6" s="101"/>
      <c r="I6" s="101" t="s">
        <v>532</v>
      </c>
      <c r="M6" s="101" t="s">
        <v>533</v>
      </c>
      <c r="Q6" s="101" t="s">
        <v>534</v>
      </c>
    </row>
    <row r="7" spans="1:20" s="101" customFormat="1">
      <c r="E7" s="101">
        <v>2024</v>
      </c>
      <c r="G7" s="101">
        <v>2025</v>
      </c>
      <c r="H7" s="121"/>
      <c r="I7" s="101">
        <v>2024</v>
      </c>
      <c r="K7" s="101">
        <v>2025</v>
      </c>
      <c r="M7" s="101">
        <v>2024</v>
      </c>
      <c r="O7" s="101">
        <v>2025</v>
      </c>
      <c r="Q7" s="101">
        <v>2024</v>
      </c>
      <c r="T7" s="101">
        <v>2025</v>
      </c>
    </row>
    <row r="8" spans="1:20">
      <c r="H8" s="122"/>
      <c r="I8" s="101" t="s">
        <v>535</v>
      </c>
      <c r="J8" s="101"/>
      <c r="K8" s="101" t="s">
        <v>535</v>
      </c>
      <c r="L8" s="101"/>
      <c r="M8" s="101" t="s">
        <v>536</v>
      </c>
      <c r="N8" s="101"/>
      <c r="O8" s="101" t="s">
        <v>536</v>
      </c>
      <c r="P8" s="101"/>
      <c r="Q8" s="101"/>
      <c r="R8" s="101"/>
      <c r="S8" s="101"/>
      <c r="T8" s="101"/>
    </row>
    <row r="9" spans="1:20">
      <c r="A9" s="101" t="s">
        <v>5</v>
      </c>
      <c r="E9" s="101"/>
      <c r="F9" s="101"/>
      <c r="G9" s="101"/>
      <c r="H9" s="122"/>
      <c r="I9" s="101" t="s">
        <v>537</v>
      </c>
      <c r="J9" s="101"/>
      <c r="K9" s="101" t="s">
        <v>537</v>
      </c>
      <c r="L9" s="101"/>
      <c r="M9" s="101" t="s">
        <v>538</v>
      </c>
      <c r="N9" s="101"/>
      <c r="O9" s="101" t="s">
        <v>538</v>
      </c>
      <c r="P9" s="101"/>
      <c r="Q9" s="101"/>
      <c r="R9" s="101"/>
      <c r="S9" s="6" t="s">
        <v>7</v>
      </c>
      <c r="T9" s="101"/>
    </row>
    <row r="10" spans="1:20">
      <c r="A10" s="103" t="s">
        <v>10</v>
      </c>
      <c r="B10" s="104"/>
      <c r="C10" s="105" t="s">
        <v>392</v>
      </c>
      <c r="E10" s="105" t="s">
        <v>539</v>
      </c>
      <c r="F10" s="105" t="s">
        <v>540</v>
      </c>
      <c r="G10" s="105" t="s">
        <v>539</v>
      </c>
      <c r="H10" s="121"/>
      <c r="I10" s="105" t="s">
        <v>541</v>
      </c>
      <c r="J10" s="105" t="s">
        <v>540</v>
      </c>
      <c r="K10" s="105" t="s">
        <v>541</v>
      </c>
      <c r="L10" s="101"/>
      <c r="M10" s="105" t="s">
        <v>542</v>
      </c>
      <c r="N10" s="105" t="s">
        <v>540</v>
      </c>
      <c r="O10" s="105" t="s">
        <v>542</v>
      </c>
      <c r="P10" s="101"/>
      <c r="Q10" s="105" t="s">
        <v>543</v>
      </c>
      <c r="R10" s="105" t="s">
        <v>540</v>
      </c>
      <c r="S10" s="13" t="s">
        <v>10</v>
      </c>
      <c r="T10" s="105" t="s">
        <v>543</v>
      </c>
    </row>
    <row r="11" spans="1:20">
      <c r="H11" s="122"/>
      <c r="S11" s="1"/>
    </row>
    <row r="12" spans="1:20">
      <c r="A12" s="101" t="s">
        <v>249</v>
      </c>
      <c r="C12" s="106" t="s">
        <v>393</v>
      </c>
      <c r="D12" s="98"/>
      <c r="E12" s="107">
        <v>22725506.289999899</v>
      </c>
      <c r="F12" s="132">
        <v>1651182</v>
      </c>
      <c r="G12" s="132">
        <v>24376688</v>
      </c>
      <c r="H12" s="122"/>
      <c r="I12" s="107">
        <v>491009.78000000061</v>
      </c>
      <c r="J12" s="107">
        <v>-185926</v>
      </c>
      <c r="K12" s="132">
        <v>305084</v>
      </c>
      <c r="M12" s="107">
        <v>13778219.560000002</v>
      </c>
      <c r="N12" s="132">
        <v>1065931</v>
      </c>
      <c r="O12" s="132">
        <v>14844151</v>
      </c>
      <c r="P12" s="107"/>
      <c r="Q12" s="132">
        <v>36994736</v>
      </c>
      <c r="R12" s="132">
        <v>2531187</v>
      </c>
      <c r="S12" s="1"/>
      <c r="T12" s="132">
        <v>39525923</v>
      </c>
    </row>
    <row r="13" spans="1:20">
      <c r="C13" s="108"/>
      <c r="D13" s="98"/>
      <c r="E13" s="109"/>
      <c r="F13" s="109"/>
      <c r="H13" s="122"/>
      <c r="I13" s="109"/>
      <c r="J13" s="109"/>
      <c r="K13" s="109"/>
      <c r="M13" s="109"/>
      <c r="N13" s="109"/>
      <c r="P13" s="109"/>
      <c r="Q13" s="109"/>
      <c r="R13" s="109"/>
      <c r="S13" s="19"/>
    </row>
    <row r="14" spans="1:20">
      <c r="A14" s="101" t="s">
        <v>251</v>
      </c>
      <c r="C14" s="106" t="s">
        <v>394</v>
      </c>
      <c r="D14" s="98"/>
      <c r="E14" s="86">
        <v>22879019.869999897</v>
      </c>
      <c r="F14" s="86">
        <v>1732922</v>
      </c>
      <c r="G14" s="86">
        <v>24611942</v>
      </c>
      <c r="H14" s="122"/>
      <c r="I14" s="86">
        <v>471964.28000000061</v>
      </c>
      <c r="J14" s="86">
        <v>-195250</v>
      </c>
      <c r="K14" s="132">
        <v>276715</v>
      </c>
      <c r="M14" s="86">
        <v>9482975.200000003</v>
      </c>
      <c r="N14" s="86">
        <v>4048175</v>
      </c>
      <c r="O14" s="86">
        <v>13531150</v>
      </c>
      <c r="Q14" s="86">
        <v>32833959</v>
      </c>
      <c r="R14" s="86">
        <v>5585847</v>
      </c>
      <c r="S14" s="24"/>
      <c r="T14" s="86">
        <v>38419806</v>
      </c>
    </row>
    <row r="15" spans="1:20">
      <c r="C15" s="110"/>
      <c r="D15" s="98"/>
      <c r="E15" s="86"/>
      <c r="F15" s="86"/>
      <c r="G15" s="86"/>
      <c r="H15" s="122"/>
      <c r="I15" s="86"/>
      <c r="J15" s="86"/>
      <c r="K15" s="86"/>
      <c r="M15" s="86"/>
      <c r="N15" s="86"/>
      <c r="O15" s="86"/>
      <c r="Q15" s="86"/>
      <c r="R15" s="86"/>
      <c r="S15" s="24"/>
      <c r="T15" s="86"/>
    </row>
    <row r="16" spans="1:20">
      <c r="A16" s="101" t="s">
        <v>253</v>
      </c>
      <c r="C16" s="106" t="s">
        <v>395</v>
      </c>
      <c r="D16" s="98"/>
      <c r="E16" s="86">
        <v>22993011.409999896</v>
      </c>
      <c r="F16" s="86">
        <v>1789276</v>
      </c>
      <c r="G16" s="86">
        <v>24782287</v>
      </c>
      <c r="H16" s="122"/>
      <c r="I16" s="86">
        <v>454489.81000000064</v>
      </c>
      <c r="J16" s="86">
        <v>-206144</v>
      </c>
      <c r="K16" s="132">
        <v>248345</v>
      </c>
      <c r="M16" s="86">
        <v>8723406.5300000031</v>
      </c>
      <c r="N16" s="86">
        <v>4208247</v>
      </c>
      <c r="O16" s="86">
        <v>12931653</v>
      </c>
      <c r="Q16" s="86">
        <v>32170908</v>
      </c>
      <c r="R16" s="86">
        <v>5791378</v>
      </c>
      <c r="S16" s="65"/>
      <c r="T16" s="86">
        <v>37962286</v>
      </c>
    </row>
    <row r="17" spans="1:20">
      <c r="C17" s="110"/>
      <c r="D17" s="98"/>
      <c r="E17" s="86"/>
      <c r="F17" s="86"/>
      <c r="G17" s="86"/>
      <c r="H17" s="122"/>
      <c r="I17" s="86"/>
      <c r="J17" s="86"/>
      <c r="K17" s="86"/>
      <c r="M17" s="86"/>
      <c r="N17" s="86"/>
      <c r="O17" s="86"/>
      <c r="Q17" s="86"/>
      <c r="R17" s="86"/>
      <c r="S17" s="24"/>
      <c r="T17" s="86"/>
    </row>
    <row r="18" spans="1:20">
      <c r="A18" s="101" t="s">
        <v>255</v>
      </c>
      <c r="C18" s="106" t="s">
        <v>396</v>
      </c>
      <c r="D18" s="98"/>
      <c r="E18" s="86">
        <v>23107469.409999896</v>
      </c>
      <c r="F18" s="86">
        <v>1815607</v>
      </c>
      <c r="G18" s="86">
        <v>24923076</v>
      </c>
      <c r="H18" s="122"/>
      <c r="I18" s="86">
        <v>440400.21000000066</v>
      </c>
      <c r="J18" s="86">
        <v>-220424</v>
      </c>
      <c r="K18" s="132">
        <v>219976</v>
      </c>
      <c r="M18" s="86">
        <v>7662002.5800000029</v>
      </c>
      <c r="N18" s="86">
        <v>6287189</v>
      </c>
      <c r="O18" s="86">
        <v>13949192</v>
      </c>
      <c r="Q18" s="86">
        <v>31209872</v>
      </c>
      <c r="R18" s="86">
        <v>7882372</v>
      </c>
      <c r="S18" s="1"/>
      <c r="T18" s="86">
        <v>39092244</v>
      </c>
    </row>
    <row r="19" spans="1:20">
      <c r="C19" s="110"/>
      <c r="D19" s="98"/>
      <c r="E19" s="86"/>
      <c r="F19" s="86"/>
      <c r="G19" s="86"/>
      <c r="H19" s="122"/>
      <c r="I19" s="86"/>
      <c r="J19" s="86"/>
      <c r="K19" s="86"/>
      <c r="M19" s="86"/>
      <c r="N19" s="86"/>
      <c r="O19" s="86"/>
      <c r="Q19" s="86"/>
      <c r="R19" s="86"/>
      <c r="S19" s="24"/>
      <c r="T19" s="86"/>
    </row>
    <row r="20" spans="1:20">
      <c r="A20" s="101" t="s">
        <v>258</v>
      </c>
      <c r="C20" s="106" t="s">
        <v>397</v>
      </c>
      <c r="D20" s="98"/>
      <c r="E20" s="86">
        <v>23187572.149999894</v>
      </c>
      <c r="F20" s="86">
        <v>1840284</v>
      </c>
      <c r="G20" s="86">
        <v>25027856</v>
      </c>
      <c r="H20" s="122"/>
      <c r="I20" s="86">
        <v>426850.76000000065</v>
      </c>
      <c r="J20" s="86">
        <v>-235244</v>
      </c>
      <c r="K20" s="132">
        <v>191607</v>
      </c>
      <c r="M20" s="86">
        <v>10160082.800000003</v>
      </c>
      <c r="N20" s="86">
        <v>5825928</v>
      </c>
      <c r="O20" s="86">
        <v>15986011</v>
      </c>
      <c r="Q20" s="86">
        <v>33774506</v>
      </c>
      <c r="R20" s="86">
        <v>7430968</v>
      </c>
      <c r="S20" s="65"/>
      <c r="T20" s="86">
        <v>41205474</v>
      </c>
    </row>
    <row r="21" spans="1:20">
      <c r="C21" s="110"/>
      <c r="D21" s="98"/>
      <c r="E21" s="86"/>
      <c r="F21" s="86"/>
      <c r="G21" s="86"/>
      <c r="H21" s="122"/>
      <c r="I21" s="86"/>
      <c r="J21" s="86"/>
      <c r="K21" s="86"/>
      <c r="M21" s="86"/>
      <c r="N21" s="86"/>
      <c r="O21" s="86"/>
      <c r="Q21" s="86"/>
      <c r="R21" s="86"/>
      <c r="S21" s="24"/>
      <c r="T21" s="86"/>
    </row>
    <row r="22" spans="1:20">
      <c r="A22" s="101" t="s">
        <v>260</v>
      </c>
      <c r="C22" s="106" t="s">
        <v>398</v>
      </c>
      <c r="D22" s="98"/>
      <c r="E22" s="86">
        <v>23266028.219999894</v>
      </c>
      <c r="F22" s="86">
        <v>1883444</v>
      </c>
      <c r="G22" s="86">
        <v>25149472</v>
      </c>
      <c r="H22" s="122"/>
      <c r="I22" s="86">
        <v>415113.34000000067</v>
      </c>
      <c r="J22" s="86">
        <v>-251876</v>
      </c>
      <c r="K22" s="132">
        <v>163238</v>
      </c>
      <c r="M22" s="86">
        <v>12063902.500000002</v>
      </c>
      <c r="N22" s="86">
        <v>5330190</v>
      </c>
      <c r="O22" s="86">
        <v>17394093</v>
      </c>
      <c r="Q22" s="86">
        <v>35745044</v>
      </c>
      <c r="R22" s="86">
        <v>6961759</v>
      </c>
      <c r="S22" s="1"/>
      <c r="T22" s="86">
        <v>42706803</v>
      </c>
    </row>
    <row r="23" spans="1:20">
      <c r="C23" s="110"/>
      <c r="D23" s="98"/>
      <c r="E23" s="86"/>
      <c r="F23" s="86"/>
      <c r="G23" s="86"/>
      <c r="H23" s="122"/>
      <c r="I23" s="86"/>
      <c r="J23" s="86"/>
      <c r="K23" s="86"/>
      <c r="M23" s="86"/>
      <c r="N23" s="86"/>
      <c r="O23" s="86"/>
      <c r="Q23" s="86"/>
      <c r="R23" s="86"/>
      <c r="S23" s="24"/>
      <c r="T23" s="86"/>
    </row>
    <row r="24" spans="1:20">
      <c r="A24" s="101" t="s">
        <v>262</v>
      </c>
      <c r="C24" s="106" t="s">
        <v>399</v>
      </c>
      <c r="D24" s="98"/>
      <c r="E24" s="86">
        <v>23403761.199999895</v>
      </c>
      <c r="F24" s="86">
        <v>1902912</v>
      </c>
      <c r="G24" s="86">
        <v>25306673</v>
      </c>
      <c r="H24" s="122"/>
      <c r="I24" s="86">
        <v>401648.73000000068</v>
      </c>
      <c r="J24" s="86">
        <v>-266780</v>
      </c>
      <c r="K24" s="132">
        <v>134869</v>
      </c>
      <c r="M24" s="86">
        <v>15760144.960000001</v>
      </c>
      <c r="N24" s="86">
        <v>3209175</v>
      </c>
      <c r="O24" s="86">
        <v>18969320</v>
      </c>
      <c r="Q24" s="86">
        <v>39565555</v>
      </c>
      <c r="R24" s="86">
        <v>4845307</v>
      </c>
      <c r="S24" s="65"/>
      <c r="T24" s="86">
        <v>44410861</v>
      </c>
    </row>
    <row r="25" spans="1:20">
      <c r="C25" s="110"/>
      <c r="D25" s="98"/>
      <c r="E25" s="86"/>
      <c r="F25" s="86"/>
      <c r="G25" s="86"/>
      <c r="H25" s="122"/>
      <c r="I25" s="86"/>
      <c r="J25" s="86"/>
      <c r="K25" s="86"/>
      <c r="M25" s="86"/>
      <c r="N25" s="86"/>
      <c r="O25" s="86"/>
      <c r="Q25" s="86"/>
      <c r="R25" s="86"/>
      <c r="S25" s="24"/>
      <c r="T25" s="86"/>
    </row>
    <row r="26" spans="1:20">
      <c r="A26" s="101" t="s">
        <v>264</v>
      </c>
      <c r="C26" s="106" t="s">
        <v>400</v>
      </c>
      <c r="D26" s="98"/>
      <c r="E26" s="86">
        <v>23589140.479999896</v>
      </c>
      <c r="F26" s="86">
        <v>2049606</v>
      </c>
      <c r="G26" s="86">
        <v>25638746</v>
      </c>
      <c r="H26" s="122"/>
      <c r="I26" s="86">
        <v>377456.79000000068</v>
      </c>
      <c r="J26" s="86">
        <v>-270957</v>
      </c>
      <c r="K26" s="132">
        <v>106499</v>
      </c>
      <c r="M26" s="86">
        <v>17287518.539999999</v>
      </c>
      <c r="N26" s="86">
        <v>440988</v>
      </c>
      <c r="O26" s="86">
        <v>17728507</v>
      </c>
      <c r="Q26" s="86">
        <v>41254116</v>
      </c>
      <c r="R26" s="86">
        <v>2219636</v>
      </c>
      <c r="S26" s="1"/>
      <c r="T26" s="86">
        <v>43473752</v>
      </c>
    </row>
    <row r="27" spans="1:20">
      <c r="C27" s="110"/>
      <c r="D27" s="98"/>
      <c r="E27" s="86"/>
      <c r="F27" s="86"/>
      <c r="G27" s="86"/>
      <c r="H27" s="122"/>
      <c r="I27" s="86"/>
      <c r="J27" s="86"/>
      <c r="K27" s="86"/>
      <c r="M27" s="86"/>
      <c r="N27" s="86"/>
      <c r="O27" s="86"/>
      <c r="Q27" s="86"/>
      <c r="R27" s="86"/>
      <c r="S27" s="24"/>
      <c r="T27" s="86"/>
    </row>
    <row r="28" spans="1:20">
      <c r="A28" s="101" t="s">
        <v>266</v>
      </c>
      <c r="C28" s="106" t="s">
        <v>401</v>
      </c>
      <c r="D28" s="98"/>
      <c r="E28" s="86">
        <v>23747883.559999894</v>
      </c>
      <c r="F28" s="86">
        <v>2166985</v>
      </c>
      <c r="G28" s="86">
        <v>25914869</v>
      </c>
      <c r="H28" s="122"/>
      <c r="I28" s="86">
        <v>360394.0000000007</v>
      </c>
      <c r="J28" s="86">
        <v>-282264</v>
      </c>
      <c r="K28" s="132">
        <v>78130</v>
      </c>
      <c r="M28" s="86">
        <v>13111479.529999999</v>
      </c>
      <c r="N28" s="86">
        <v>3278573</v>
      </c>
      <c r="O28" s="86">
        <v>16390052</v>
      </c>
      <c r="Q28" s="86">
        <v>37219757</v>
      </c>
      <c r="R28" s="86">
        <v>5163294</v>
      </c>
      <c r="S28" s="65"/>
      <c r="T28" s="86">
        <v>42383051</v>
      </c>
    </row>
    <row r="29" spans="1:20">
      <c r="C29" s="110"/>
      <c r="D29" s="98"/>
      <c r="E29" s="86"/>
      <c r="F29" s="86"/>
      <c r="G29" s="86"/>
      <c r="H29" s="122"/>
      <c r="I29" s="86"/>
      <c r="J29" s="86"/>
      <c r="K29" s="86"/>
      <c r="M29" s="86"/>
      <c r="N29" s="86"/>
      <c r="O29" s="86"/>
      <c r="Q29" s="86"/>
      <c r="R29" s="86"/>
      <c r="S29" s="24"/>
      <c r="T29" s="86"/>
    </row>
    <row r="30" spans="1:20">
      <c r="A30" s="101" t="s">
        <v>402</v>
      </c>
      <c r="C30" s="106" t="s">
        <v>403</v>
      </c>
      <c r="D30" s="98"/>
      <c r="E30" s="86">
        <v>23928500.289999895</v>
      </c>
      <c r="F30" s="86">
        <v>2239761</v>
      </c>
      <c r="G30" s="86">
        <v>26168261</v>
      </c>
      <c r="H30" s="122"/>
      <c r="I30" s="86">
        <v>344295.0600000007</v>
      </c>
      <c r="J30" s="86">
        <v>-294534</v>
      </c>
      <c r="K30" s="132">
        <v>49761</v>
      </c>
      <c r="M30" s="86">
        <v>14387417.729999999</v>
      </c>
      <c r="N30" s="86">
        <v>1578120</v>
      </c>
      <c r="O30" s="86">
        <v>15965538</v>
      </c>
      <c r="Q30" s="86">
        <v>38660213</v>
      </c>
      <c r="R30" s="86">
        <v>3523347</v>
      </c>
      <c r="S30" s="1"/>
      <c r="T30" s="86">
        <v>42183560</v>
      </c>
    </row>
    <row r="31" spans="1:20">
      <c r="C31" s="110"/>
      <c r="D31" s="98"/>
      <c r="E31" s="86"/>
      <c r="F31" s="86"/>
      <c r="G31" s="86"/>
      <c r="H31" s="122"/>
      <c r="I31" s="86"/>
      <c r="J31" s="86"/>
      <c r="K31" s="86"/>
      <c r="M31" s="86"/>
      <c r="N31" s="86"/>
      <c r="O31" s="86"/>
      <c r="Q31" s="86"/>
      <c r="R31" s="86"/>
      <c r="S31" s="24"/>
      <c r="T31" s="86"/>
    </row>
    <row r="32" spans="1:20">
      <c r="A32" s="101" t="s">
        <v>404</v>
      </c>
      <c r="C32" s="106" t="s">
        <v>405</v>
      </c>
      <c r="D32" s="98"/>
      <c r="E32" s="86">
        <v>24085133.179999895</v>
      </c>
      <c r="F32" s="86">
        <v>2341461</v>
      </c>
      <c r="G32" s="86">
        <v>26426594</v>
      </c>
      <c r="H32" s="122"/>
      <c r="I32" s="86">
        <v>360757.08000000071</v>
      </c>
      <c r="J32" s="86">
        <v>-339365</v>
      </c>
      <c r="K32" s="132">
        <v>21392</v>
      </c>
      <c r="M32" s="86">
        <v>14648654.319999998</v>
      </c>
      <c r="N32" s="86">
        <v>594354</v>
      </c>
      <c r="O32" s="86">
        <v>15243009</v>
      </c>
      <c r="Q32" s="86">
        <v>39094545</v>
      </c>
      <c r="R32" s="86">
        <v>2596450</v>
      </c>
      <c r="S32" s="65"/>
      <c r="T32" s="86">
        <v>41690994</v>
      </c>
    </row>
    <row r="33" spans="1:21">
      <c r="C33" s="110"/>
      <c r="D33" s="98"/>
      <c r="E33" s="86"/>
      <c r="F33" s="86"/>
      <c r="G33" s="86"/>
      <c r="H33" s="122"/>
      <c r="I33" s="86"/>
      <c r="J33" s="86"/>
      <c r="K33" s="86"/>
      <c r="M33" s="86"/>
      <c r="N33" s="86"/>
      <c r="O33" s="86"/>
      <c r="Q33" s="86"/>
      <c r="R33" s="86"/>
      <c r="S33" s="24"/>
      <c r="T33" s="86"/>
    </row>
    <row r="34" spans="1:21">
      <c r="A34" s="101" t="s">
        <v>406</v>
      </c>
      <c r="C34" s="106" t="s">
        <v>407</v>
      </c>
      <c r="D34" s="98"/>
      <c r="E34" s="86">
        <v>24234491.889999896</v>
      </c>
      <c r="F34" s="86">
        <v>2436393</v>
      </c>
      <c r="G34" s="86">
        <v>26670885</v>
      </c>
      <c r="H34" s="122"/>
      <c r="I34" s="86">
        <v>333453.05000000075</v>
      </c>
      <c r="J34" s="86">
        <v>-333453</v>
      </c>
      <c r="K34" s="86">
        <v>0</v>
      </c>
      <c r="M34" s="86">
        <v>13003007.429999998</v>
      </c>
      <c r="N34" s="86">
        <v>1168847</v>
      </c>
      <c r="O34" s="86">
        <v>14171854</v>
      </c>
      <c r="Q34" s="86">
        <v>37570952</v>
      </c>
      <c r="R34" s="86">
        <v>3271787</v>
      </c>
      <c r="S34" s="1"/>
      <c r="T34" s="86">
        <v>40842739</v>
      </c>
    </row>
    <row r="35" spans="1:21">
      <c r="C35" s="110"/>
      <c r="D35" s="98"/>
      <c r="E35" s="86"/>
      <c r="F35" s="86"/>
      <c r="G35" s="86"/>
      <c r="H35" s="122"/>
      <c r="I35" s="86"/>
      <c r="J35" s="86"/>
      <c r="K35" s="86"/>
      <c r="M35" s="86"/>
      <c r="N35" s="86"/>
      <c r="O35" s="86"/>
      <c r="Q35" s="86"/>
      <c r="R35" s="86"/>
      <c r="S35" s="24"/>
      <c r="T35" s="86"/>
    </row>
    <row r="36" spans="1:21">
      <c r="A36" s="101" t="s">
        <v>408</v>
      </c>
      <c r="C36" s="106" t="s">
        <v>409</v>
      </c>
      <c r="D36" s="98"/>
      <c r="E36" s="86">
        <v>24376687.999999896</v>
      </c>
      <c r="F36" s="86">
        <v>2509542</v>
      </c>
      <c r="G36" s="86">
        <v>26886230</v>
      </c>
      <c r="H36" s="122"/>
      <c r="I36" s="86">
        <v>305083.84000000072</v>
      </c>
      <c r="J36" s="86">
        <v>-305084</v>
      </c>
      <c r="K36" s="86">
        <v>0</v>
      </c>
      <c r="M36" s="86">
        <v>14844150.859999998</v>
      </c>
      <c r="N36" s="86">
        <v>-693315</v>
      </c>
      <c r="O36" s="86">
        <v>14150836</v>
      </c>
      <c r="Q36" s="86">
        <v>39525923</v>
      </c>
      <c r="R36" s="86">
        <v>1511144</v>
      </c>
      <c r="S36" s="65"/>
      <c r="T36" s="86">
        <v>41037066</v>
      </c>
    </row>
    <row r="37" spans="1:21">
      <c r="C37" s="111"/>
      <c r="D37" s="98"/>
      <c r="E37" s="84"/>
      <c r="F37" s="84"/>
      <c r="G37" s="84"/>
      <c r="H37" s="123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24"/>
      <c r="T37" s="84"/>
      <c r="U37" s="84"/>
    </row>
    <row r="38" spans="1:21">
      <c r="C38" s="111"/>
      <c r="D38" s="98"/>
      <c r="E38" s="84"/>
      <c r="F38" s="84"/>
      <c r="G38" s="84"/>
      <c r="H38" s="123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1"/>
      <c r="T38" s="84"/>
      <c r="U38" s="84"/>
    </row>
    <row r="39" spans="1:21" ht="18.75" thickBot="1">
      <c r="A39" s="101" t="s">
        <v>410</v>
      </c>
      <c r="C39" s="112" t="s">
        <v>411</v>
      </c>
      <c r="D39" s="98"/>
      <c r="E39" s="113">
        <f>SUM(E12:E36)/13</f>
        <v>23501861.996153738</v>
      </c>
      <c r="F39" s="113">
        <f t="shared" ref="F39:G39" si="0">SUM(F12:F36)/13</f>
        <v>2027644.2307692308</v>
      </c>
      <c r="G39" s="113">
        <f t="shared" si="0"/>
        <v>25529506.076923076</v>
      </c>
      <c r="H39" s="124"/>
      <c r="I39" s="113">
        <f>SUM(I12:I36)/13</f>
        <v>398685.90230769297</v>
      </c>
      <c r="J39" s="113">
        <f t="shared" ref="J39" si="1">SUM(J12:J36)/13</f>
        <v>-260561.61538461538</v>
      </c>
      <c r="K39" s="113">
        <f>SUM(K12:K36)/13</f>
        <v>138124.30769230769</v>
      </c>
      <c r="L39" s="82"/>
      <c r="M39" s="113">
        <f>SUM(M12:M36)/13</f>
        <v>12685612.503076924</v>
      </c>
      <c r="N39" s="113">
        <f t="shared" ref="N39:O39" si="2">SUM(N12:N36)/13</f>
        <v>2795569.3846153845</v>
      </c>
      <c r="O39" s="113">
        <f t="shared" si="2"/>
        <v>15481182</v>
      </c>
      <c r="P39" s="82"/>
      <c r="Q39" s="113">
        <f>SUM(Q12:Q36)/13</f>
        <v>36586160.461538464</v>
      </c>
      <c r="R39" s="113">
        <f t="shared" ref="R39:T39" si="3">SUM(R12:R36)/13</f>
        <v>4562652</v>
      </c>
      <c r="S39" s="97" t="s">
        <v>544</v>
      </c>
      <c r="T39" s="113">
        <f t="shared" si="3"/>
        <v>41148812.230769232</v>
      </c>
      <c r="U39" s="82"/>
    </row>
    <row r="40" spans="1:21" ht="13.5" thickTop="1">
      <c r="H40" s="122"/>
    </row>
    <row r="41" spans="1:21">
      <c r="C41" s="114"/>
      <c r="H41" s="122"/>
      <c r="L41" s="122"/>
      <c r="P41" s="122"/>
      <c r="U41" s="122"/>
    </row>
    <row r="42" spans="1:21">
      <c r="H42" s="122"/>
      <c r="L42" s="122"/>
      <c r="P42" s="122"/>
      <c r="U42" s="122"/>
    </row>
    <row r="43" spans="1:21">
      <c r="A43" s="115"/>
      <c r="H43" s="122"/>
      <c r="I43" s="85"/>
      <c r="J43" s="85"/>
      <c r="K43" s="85"/>
      <c r="L43" s="122"/>
      <c r="P43" s="122"/>
      <c r="U43" s="122"/>
    </row>
    <row r="44" spans="1:21"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</row>
    <row r="45" spans="1:21">
      <c r="A45" s="115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</row>
    <row r="54" spans="5:20">
      <c r="M54" s="116" t="s">
        <v>545</v>
      </c>
      <c r="N54" s="116"/>
      <c r="O54" s="116"/>
      <c r="P54" s="116"/>
      <c r="Q54" s="116"/>
      <c r="R54" s="116"/>
      <c r="S54" s="116"/>
      <c r="T54" s="116"/>
    </row>
    <row r="55" spans="5:20">
      <c r="M55" s="116" t="s">
        <v>546</v>
      </c>
      <c r="N55" s="116"/>
      <c r="O55" s="116"/>
      <c r="P55" s="116"/>
      <c r="Q55" s="116"/>
      <c r="R55" s="116"/>
      <c r="S55" s="116"/>
      <c r="T55" s="116"/>
    </row>
    <row r="56" spans="5:20">
      <c r="E56" s="86"/>
      <c r="M56" s="116" t="s">
        <v>547</v>
      </c>
      <c r="N56" s="116"/>
      <c r="O56" s="116"/>
      <c r="P56" s="116"/>
      <c r="Q56" s="116"/>
      <c r="R56" s="116"/>
      <c r="S56" s="116"/>
      <c r="T56" s="116"/>
    </row>
    <row r="57" spans="5:20">
      <c r="E57" s="86"/>
      <c r="M57" s="116" t="s">
        <v>548</v>
      </c>
      <c r="N57" s="116"/>
      <c r="O57" s="116"/>
      <c r="P57" s="116"/>
      <c r="Q57" s="116"/>
      <c r="R57" s="116"/>
      <c r="S57" s="116"/>
      <c r="T57" s="116"/>
    </row>
    <row r="58" spans="5:20">
      <c r="E58" s="86"/>
    </row>
    <row r="59" spans="5:20">
      <c r="E59" s="86"/>
    </row>
    <row r="60" spans="5:20">
      <c r="E60" s="86"/>
    </row>
    <row r="61" spans="5:20">
      <c r="E61" s="86"/>
    </row>
    <row r="62" spans="5:20">
      <c r="E62" s="86"/>
    </row>
    <row r="63" spans="5:20">
      <c r="E63" s="86"/>
    </row>
    <row r="64" spans="5:20">
      <c r="E64" s="86"/>
    </row>
    <row r="65" spans="5:5">
      <c r="E65" s="86"/>
    </row>
    <row r="66" spans="5:5">
      <c r="E66" s="86"/>
    </row>
    <row r="67" spans="5:5">
      <c r="E67" s="86"/>
    </row>
    <row r="68" spans="5:5">
      <c r="E68" s="86"/>
    </row>
    <row r="69" spans="5:5">
      <c r="E69" s="86"/>
    </row>
    <row r="70" spans="5:5">
      <c r="E70" s="86"/>
    </row>
    <row r="71" spans="5:5">
      <c r="E71" s="86"/>
    </row>
    <row r="72" spans="5:5">
      <c r="E72" s="86"/>
    </row>
    <row r="73" spans="5:5">
      <c r="E73" s="86"/>
    </row>
    <row r="74" spans="5:5">
      <c r="E74" s="86"/>
    </row>
    <row r="75" spans="5:5">
      <c r="E75" s="86"/>
    </row>
    <row r="76" spans="5:5">
      <c r="E76" s="86"/>
    </row>
    <row r="77" spans="5:5">
      <c r="E77" s="86"/>
    </row>
    <row r="78" spans="5:5">
      <c r="E78" s="86"/>
    </row>
  </sheetData>
  <phoneticPr fontId="0" type="noConversion"/>
  <printOptions horizontalCentered="1"/>
  <pageMargins left="1" right="1" top="1" bottom="1" header="0.3" footer="0.3"/>
  <pageSetup scale="48" pageOrder="overThenDown" orientation="landscape" r:id="rId1"/>
  <headerFooter alignWithMargins="0">
    <oddFooter>&amp;RExhibit No. 18
Case No. IPC-E-25-16
P. Jeppsen, IPC
Page &amp;P of &amp;N</oddFooter>
  </headerFooter>
  <rowBreaks count="2" manualBreakCount="2">
    <brk id="40" min="37" max="63" man="1"/>
    <brk id="77" min="37" max="6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  <SharedWithUsers xmlns="d73927f9-2b79-496a-80ac-9ef64eb03c7b">
      <UserInfo>
        <DisplayName>White, Tami</DisplayName>
        <AccountId>13</AccountId>
        <AccountType/>
      </UserInfo>
      <UserInfo>
        <DisplayName>Peterson, Charles</DisplayName>
        <AccountId>29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926AA60-A7FE-4151-9473-06A741C732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088C2E-7976-49BB-A855-89098B739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3DED3-8055-43FD-A64E-717EE7EFC1AD}">
  <ds:schemaRefs>
    <ds:schemaRef ds:uri="http://schemas.microsoft.com/office/2006/documentManagement/types"/>
    <ds:schemaRef ds:uri="http://purl.org/dc/elements/1.1/"/>
    <ds:schemaRef ds:uri="f2598b9c-e36d-41d2-bc07-82821eae5140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861b690-d0a9-4018-97d6-298fd6205a36"/>
    <ds:schemaRef ds:uri="d73927f9-2b79-496a-80ac-9ef64eb03c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29</vt:i4>
      </vt:variant>
    </vt:vector>
  </HeadingPairs>
  <TitlesOfParts>
    <vt:vector size="49" baseType="lpstr">
      <vt:lpstr>OthOpRev451_454_456</vt:lpstr>
      <vt:lpstr>OthRevExp415_416</vt:lpstr>
      <vt:lpstr>O&amp;M YTD Act</vt:lpstr>
      <vt:lpstr>PropIns924</vt:lpstr>
      <vt:lpstr>RegComExp928</vt:lpstr>
      <vt:lpstr>Depr Amort Exp</vt:lpstr>
      <vt:lpstr>AmorGain&amp;Loss</vt:lpstr>
      <vt:lpstr>Reg407.3_407.4</vt:lpstr>
      <vt:lpstr>Taxes Other</vt:lpstr>
      <vt:lpstr>IERCO IncStmt</vt:lpstr>
      <vt:lpstr>AFUDC Hells Canyon</vt:lpstr>
      <vt:lpstr>EPIS</vt:lpstr>
      <vt:lpstr>AccDepr</vt:lpstr>
      <vt:lpstr>AccAmort</vt:lpstr>
      <vt:lpstr>M&amp;S</vt:lpstr>
      <vt:lpstr>OthDef</vt:lpstr>
      <vt:lpstr>PlantFutureUse</vt:lpstr>
      <vt:lpstr>DefTax</vt:lpstr>
      <vt:lpstr>CustAdv</vt:lpstr>
      <vt:lpstr>SubRtbs</vt:lpstr>
      <vt:lpstr>AccAmort!Print_Area</vt:lpstr>
      <vt:lpstr>AccDepr!Print_Area</vt:lpstr>
      <vt:lpstr>'AmorGain&amp;Loss'!Print_Area</vt:lpstr>
      <vt:lpstr>CustAdv!Print_Area</vt:lpstr>
      <vt:lpstr>DefTax!Print_Area</vt:lpstr>
      <vt:lpstr>'Depr Amort Exp'!Print_Area</vt:lpstr>
      <vt:lpstr>EPIS!Print_Area</vt:lpstr>
      <vt:lpstr>'IERCO IncStmt'!Print_Area</vt:lpstr>
      <vt:lpstr>'O&amp;M YTD Act'!Print_Area</vt:lpstr>
      <vt:lpstr>OthDef!Print_Area</vt:lpstr>
      <vt:lpstr>OthOpRev451_454_456!Print_Area</vt:lpstr>
      <vt:lpstr>OthRevExp415_416!Print_Area</vt:lpstr>
      <vt:lpstr>PlantFutureUse!Print_Area</vt:lpstr>
      <vt:lpstr>PropIns924!Print_Area</vt:lpstr>
      <vt:lpstr>Reg407.3_407.4!Print_Area</vt:lpstr>
      <vt:lpstr>RegComExp928!Print_Area</vt:lpstr>
      <vt:lpstr>SubRtbs!Print_Area</vt:lpstr>
      <vt:lpstr>'Taxes Other'!Print_Area</vt:lpstr>
      <vt:lpstr>AccAmort!Print_Titles</vt:lpstr>
      <vt:lpstr>AccDepr!Print_Titles</vt:lpstr>
      <vt:lpstr>'AmorGain&amp;Loss'!Print_Titles</vt:lpstr>
      <vt:lpstr>EPIS!Print_Titles</vt:lpstr>
      <vt:lpstr>'O&amp;M YTD Act'!Print_Titles</vt:lpstr>
      <vt:lpstr>OthOpRev451_454_456!Print_Titles</vt:lpstr>
      <vt:lpstr>OthRevExp415_416!Print_Titles</vt:lpstr>
      <vt:lpstr>PropIns924!Print_Titles</vt:lpstr>
      <vt:lpstr>Reg407.3_407.4!Print_Titles</vt:lpstr>
      <vt:lpstr>RegComExp928!Print_Titles</vt:lpstr>
      <vt:lpstr>SubRtbs!Print_Titles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 Bresina</dc:creator>
  <cp:keywords/>
  <dc:description/>
  <cp:lastModifiedBy>Gust, Stacy</cp:lastModifiedBy>
  <cp:revision/>
  <cp:lastPrinted>2025-05-28T17:37:49Z</cp:lastPrinted>
  <dcterms:created xsi:type="dcterms:W3CDTF">2002-08-28T14:47:34Z</dcterms:created>
  <dcterms:modified xsi:type="dcterms:W3CDTF">2025-05-28T17:38:11Z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  <property fmtid="{D5CDD505-2E9C-101B-9397-08002B2CF9AE}" pid="3" name="{A44787D4-0540-4523-9961-78E4036D8C6D}">
    <vt:lpwstr>{32B77667-50A4-4670-92C2-23C48DAABBCA}</vt:lpwstr>
  </property>
  <property fmtid="{D5CDD505-2E9C-101B-9397-08002B2CF9AE}" pid="4" name="Order">
    <vt:r8>50200</vt:r8>
  </property>
  <property fmtid="{D5CDD505-2E9C-101B-9397-08002B2CF9AE}" pid="5" name="xd_Signature">
    <vt:bool>false</vt:bool>
  </property>
  <property fmtid="{D5CDD505-2E9C-101B-9397-08002B2CF9AE}" pid="6" name="SharedWithUsers">
    <vt:lpwstr>13;#White, Tami;#29;#Peterson, Charles</vt:lpwstr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