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Buckham\"/>
    </mc:Choice>
  </mc:AlternateContent>
  <xr:revisionPtr revIDLastSave="0" documentId="13_ncr:1_{6F667C8B-72C8-4924-AE4C-39A59FDDC3C4}" xr6:coauthVersionLast="47" xr6:coauthVersionMax="47" xr10:uidLastSave="{00000000-0000-0000-0000-000000000000}"/>
  <bookViews>
    <workbookView xWindow="-120" yWindow="-120" windowWidth="29040" windowHeight="15840" xr2:uid="{BA1B9654-4FE9-43F0-8E98-CF5CA21982C5}"/>
  </bookViews>
  <sheets>
    <sheet name="Overall Cost of Capital" sheetId="11" r:id="rId1"/>
    <sheet name="LTD" sheetId="23" state="hidden" r:id="rId2"/>
    <sheet name="Cost of Long Term Debt" sheetId="27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LTD!$A$1:$T$57</definedName>
    <definedName name="_xlnm.Print_Area" localSheetId="0">'Overall Cost of Capital'!$A$1:$K$23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2" i="27" l="1"/>
  <c r="U32" i="27"/>
  <c r="W32" i="27"/>
  <c r="Y32" i="27" s="1"/>
  <c r="Q31" i="27" l="1"/>
  <c r="U31" i="27" s="1"/>
  <c r="W31" i="27" s="1"/>
  <c r="Y31" i="27" s="1"/>
  <c r="S34" i="27" l="1"/>
  <c r="S40" i="27" s="1"/>
  <c r="K34" i="27" l="1"/>
  <c r="K40" i="27" s="1"/>
  <c r="Q29" i="27" l="1"/>
  <c r="Q30" i="27" l="1"/>
  <c r="U30" i="27" s="1"/>
  <c r="W30" i="27" s="1"/>
  <c r="Y30" i="27" s="1"/>
  <c r="Q37" i="27" l="1"/>
  <c r="Q13" i="27" l="1"/>
  <c r="Q21" i="27"/>
  <c r="Q23" i="27"/>
  <c r="M34" i="27"/>
  <c r="M40" i="27" s="1"/>
  <c r="U37" i="27"/>
  <c r="D13" i="11" l="1"/>
  <c r="D18" i="11" s="1"/>
  <c r="U26" i="27"/>
  <c r="W26" i="27" s="1"/>
  <c r="Y26" i="27" s="1"/>
  <c r="Q17" i="27"/>
  <c r="Q24" i="27"/>
  <c r="U24" i="27" s="1"/>
  <c r="W24" i="27" s="1"/>
  <c r="Y24" i="27" s="1"/>
  <c r="Q16" i="27"/>
  <c r="U16" i="27" s="1"/>
  <c r="W16" i="27" s="1"/>
  <c r="Y16" i="27" s="1"/>
  <c r="Q15" i="27"/>
  <c r="U15" i="27" s="1"/>
  <c r="W15" i="27" s="1"/>
  <c r="Y15" i="27" s="1"/>
  <c r="Q18" i="27"/>
  <c r="U18" i="27" s="1"/>
  <c r="W18" i="27" s="1"/>
  <c r="Y18" i="27" s="1"/>
  <c r="Q10" i="27"/>
  <c r="Q22" i="27"/>
  <c r="U22" i="27" s="1"/>
  <c r="W22" i="27" s="1"/>
  <c r="Y22" i="27" s="1"/>
  <c r="Q14" i="27"/>
  <c r="U14" i="27" s="1"/>
  <c r="W14" i="27" s="1"/>
  <c r="Y14" i="27" s="1"/>
  <c r="U28" i="27"/>
  <c r="W28" i="27" s="1"/>
  <c r="Y28" i="27" s="1"/>
  <c r="Q20" i="27"/>
  <c r="U20" i="27" s="1"/>
  <c r="W20" i="27" s="1"/>
  <c r="Y20" i="27" s="1"/>
  <c r="Q12" i="27"/>
  <c r="U12" i="27" s="1"/>
  <c r="W12" i="27" s="1"/>
  <c r="Y12" i="27" s="1"/>
  <c r="Q19" i="27"/>
  <c r="Q11" i="27"/>
  <c r="U11" i="27" s="1"/>
  <c r="W11" i="27" s="1"/>
  <c r="Y11" i="27" s="1"/>
  <c r="U21" i="27"/>
  <c r="W21" i="27" s="1"/>
  <c r="Y21" i="27" s="1"/>
  <c r="U13" i="27"/>
  <c r="W13" i="27" s="1"/>
  <c r="Y13" i="27" s="1"/>
  <c r="U27" i="27"/>
  <c r="W27" i="27" s="1"/>
  <c r="Y27" i="27" s="1"/>
  <c r="U17" i="27"/>
  <c r="W17" i="27" s="1"/>
  <c r="Y17" i="27" s="1"/>
  <c r="Q25" i="27"/>
  <c r="U23" i="27"/>
  <c r="W23" i="27" s="1"/>
  <c r="Y23" i="27" s="1"/>
  <c r="W37" i="27"/>
  <c r="Y37" i="27" s="1"/>
  <c r="U25" i="27" l="1"/>
  <c r="W25" i="27" s="1"/>
  <c r="Y25" i="27" s="1"/>
  <c r="U10" i="27"/>
  <c r="Q34" i="27"/>
  <c r="Q40" i="27" s="1"/>
  <c r="U19" i="27"/>
  <c r="W19" i="27" s="1"/>
  <c r="Y19" i="27" s="1"/>
  <c r="U29" i="27"/>
  <c r="W29" i="27" s="1"/>
  <c r="Y29" i="27" s="1"/>
  <c r="F16" i="11"/>
  <c r="F13" i="11"/>
  <c r="U34" i="27" l="1"/>
  <c r="U40" i="27" s="1"/>
  <c r="W10" i="27"/>
  <c r="Y10" i="27" s="1"/>
  <c r="Y34" i="27" s="1"/>
  <c r="Y40" i="27" s="1"/>
  <c r="F18" i="11"/>
  <c r="W34" i="27" l="1"/>
  <c r="K24" i="23"/>
  <c r="J24" i="23"/>
  <c r="D46" i="23"/>
  <c r="Q41" i="23"/>
  <c r="K41" i="23"/>
  <c r="D36" i="23"/>
  <c r="Q35" i="23"/>
  <c r="K35" i="23"/>
  <c r="Q33" i="23"/>
  <c r="K33" i="23"/>
  <c r="Q31" i="23"/>
  <c r="N31" i="23"/>
  <c r="K31" i="23"/>
  <c r="D27" i="23"/>
  <c r="Q25" i="23"/>
  <c r="K25" i="23"/>
  <c r="J25" i="23"/>
  <c r="Q24" i="23"/>
  <c r="Q23" i="23"/>
  <c r="K23" i="23"/>
  <c r="O23" i="23" s="1"/>
  <c r="S23" i="23" s="1"/>
  <c r="J23" i="23"/>
  <c r="H23" i="23"/>
  <c r="Q22" i="23"/>
  <c r="K22" i="23"/>
  <c r="J22" i="23"/>
  <c r="Q21" i="23"/>
  <c r="K21" i="23"/>
  <c r="J21" i="23"/>
  <c r="Q20" i="23"/>
  <c r="K20" i="23"/>
  <c r="J20" i="23"/>
  <c r="H20" i="23"/>
  <c r="Q19" i="23"/>
  <c r="K19" i="23"/>
  <c r="O19" i="23" s="1"/>
  <c r="J19" i="23"/>
  <c r="H19" i="23"/>
  <c r="Q18" i="23"/>
  <c r="K18" i="23"/>
  <c r="J18" i="23"/>
  <c r="H18" i="23"/>
  <c r="Q17" i="23"/>
  <c r="K17" i="23"/>
  <c r="O17" i="23" s="1"/>
  <c r="J17" i="23"/>
  <c r="H17" i="23"/>
  <c r="Q16" i="23"/>
  <c r="K16" i="23"/>
  <c r="J16" i="23"/>
  <c r="H16" i="23"/>
  <c r="Q15" i="23"/>
  <c r="K15" i="23"/>
  <c r="O15" i="23" s="1"/>
  <c r="J15" i="23"/>
  <c r="H15" i="23"/>
  <c r="Q14" i="23"/>
  <c r="M27" i="23"/>
  <c r="K14" i="23"/>
  <c r="J14" i="23"/>
  <c r="H14" i="23"/>
  <c r="Q13" i="23"/>
  <c r="K13" i="23"/>
  <c r="O13" i="23" s="1"/>
  <c r="J13" i="23"/>
  <c r="H13" i="23"/>
  <c r="Q12" i="23"/>
  <c r="K12" i="23"/>
  <c r="O12" i="23" s="1"/>
  <c r="S12" i="23" s="1"/>
  <c r="J12" i="23"/>
  <c r="H12" i="23"/>
  <c r="Q11" i="23"/>
  <c r="K11" i="23"/>
  <c r="J11" i="23"/>
  <c r="H11" i="23"/>
  <c r="S13" i="23" l="1"/>
  <c r="K36" i="23"/>
  <c r="S15" i="23"/>
  <c r="S17" i="23"/>
  <c r="S19" i="23"/>
  <c r="K27" i="23"/>
  <c r="K40" i="23" s="1"/>
  <c r="K44" i="23" s="1"/>
  <c r="D37" i="23"/>
  <c r="D40" i="23" s="1"/>
  <c r="D44" i="23" s="1"/>
  <c r="Q27" i="23"/>
  <c r="O11" i="23"/>
  <c r="S11" i="23" s="1"/>
  <c r="H27" i="23"/>
  <c r="M36" i="23"/>
  <c r="M40" i="23" s="1"/>
  <c r="M44" i="23" s="1"/>
  <c r="O35" i="23"/>
  <c r="S35" i="23" s="1"/>
  <c r="O41" i="23"/>
  <c r="S41" i="23" s="1"/>
  <c r="O14" i="23"/>
  <c r="S14" i="23" s="1"/>
  <c r="O16" i="23"/>
  <c r="S16" i="23" s="1"/>
  <c r="O18" i="23"/>
  <c r="S18" i="23" s="1"/>
  <c r="O20" i="23"/>
  <c r="S20" i="23" s="1"/>
  <c r="O21" i="23"/>
  <c r="S21" i="23" s="1"/>
  <c r="O22" i="23"/>
  <c r="S22" i="23" s="1"/>
  <c r="O24" i="23"/>
  <c r="S24" i="23" s="1"/>
  <c r="O25" i="23"/>
  <c r="S25" i="23" s="1"/>
  <c r="O33" i="23"/>
  <c r="S33" i="23" s="1"/>
  <c r="Q36" i="23"/>
  <c r="O31" i="23"/>
  <c r="O36" i="23" l="1"/>
  <c r="S36" i="23" s="1"/>
  <c r="O27" i="23"/>
  <c r="S27" i="23" s="1"/>
  <c r="Q40" i="23"/>
  <c r="S31" i="23"/>
  <c r="O40" i="23" l="1"/>
  <c r="O44" i="23" s="1"/>
  <c r="Q44" i="23"/>
  <c r="S40" i="23" l="1"/>
  <c r="S44" i="23"/>
  <c r="C8" i="11" l="1"/>
  <c r="D8" i="11"/>
  <c r="F8" i="11"/>
  <c r="H8" i="11"/>
  <c r="J8" i="11"/>
  <c r="J16" i="11" l="1"/>
  <c r="W40" i="27" l="1"/>
  <c r="H13" i="11" s="1"/>
  <c r="J18" i="11" l="1"/>
  <c r="J13" i="11"/>
</calcChain>
</file>

<file path=xl/sharedStrings.xml><?xml version="1.0" encoding="utf-8"?>
<sst xmlns="http://schemas.openxmlformats.org/spreadsheetml/2006/main" count="169" uniqueCount="138">
  <si>
    <t>IDAHO POWER COMPANY</t>
  </si>
  <si>
    <t>PRO FORMA COST OF CAPITAL</t>
  </si>
  <si>
    <t>SUMMARIZED</t>
  </si>
  <si>
    <t>December 31, 2025 Capitalization</t>
  </si>
  <si>
    <t>(000's)</t>
  </si>
  <si>
    <t>Line</t>
  </si>
  <si>
    <t>Capitalization Structure</t>
  </si>
  <si>
    <t>Embedded</t>
  </si>
  <si>
    <t>Weighted</t>
  </si>
  <si>
    <t>No</t>
  </si>
  <si>
    <t>Amount</t>
  </si>
  <si>
    <t>Percent</t>
  </si>
  <si>
    <t>Cost</t>
  </si>
  <si>
    <t>Long-term Debt</t>
  </si>
  <si>
    <t>Common Equity</t>
  </si>
  <si>
    <t>*</t>
  </si>
  <si>
    <t>Total Capitalization</t>
  </si>
  <si>
    <t>Note:</t>
  </si>
  <si>
    <t>* Requested Rate of Return</t>
  </si>
  <si>
    <t>Page 1 of 7</t>
  </si>
  <si>
    <t>ANALYSIS OF OUTSTANDING SECURITIES</t>
  </si>
  <si>
    <t xml:space="preserve">  Long Term Debt </t>
  </si>
  <si>
    <t>Annual Cost</t>
  </si>
  <si>
    <t xml:space="preserve">Price </t>
  </si>
  <si>
    <t>Gross Cash</t>
  </si>
  <si>
    <t>Net Cash</t>
  </si>
  <si>
    <t>of Net Cash</t>
  </si>
  <si>
    <t>Date of</t>
  </si>
  <si>
    <t>Principal</t>
  </si>
  <si>
    <t>To</t>
  </si>
  <si>
    <t>Fee or Spread</t>
  </si>
  <si>
    <t>Received</t>
  </si>
  <si>
    <t xml:space="preserve">Less </t>
  </si>
  <si>
    <t>Annual</t>
  </si>
  <si>
    <t>Description of Security</t>
  </si>
  <si>
    <t>Issue</t>
  </si>
  <si>
    <t>Company</t>
  </si>
  <si>
    <t>Public</t>
  </si>
  <si>
    <t>Total</t>
  </si>
  <si>
    <t>Unit (1)</t>
  </si>
  <si>
    <t>By Company</t>
  </si>
  <si>
    <t xml:space="preserve">Cost of  Issue </t>
  </si>
  <si>
    <t>Requirements</t>
  </si>
  <si>
    <t>(Percent)</t>
  </si>
  <si>
    <t>First Mortgage Bonds:</t>
  </si>
  <si>
    <t xml:space="preserve">  6.60% Series due 2011</t>
  </si>
  <si>
    <t xml:space="preserve">  4.75% Series due 2012</t>
  </si>
  <si>
    <t xml:space="preserve">  6.00% Series due 2032</t>
  </si>
  <si>
    <t xml:space="preserve">  4.25% Series due 2013</t>
  </si>
  <si>
    <t xml:space="preserve">  5.5% Series due 2033</t>
  </si>
  <si>
    <t xml:space="preserve">  5.5%  Series due 2034</t>
  </si>
  <si>
    <t xml:space="preserve">  5.875%  Series due 2034</t>
  </si>
  <si>
    <t xml:space="preserve">  5.30%  Series due 2035</t>
  </si>
  <si>
    <t xml:space="preserve">  6.30% Series due 2037</t>
  </si>
  <si>
    <t xml:space="preserve">  6.25% Series due 2037</t>
  </si>
  <si>
    <t xml:space="preserve">  6.025% Series due 2018</t>
  </si>
  <si>
    <t xml:space="preserve">  6.15% Series due 2019</t>
  </si>
  <si>
    <t xml:space="preserve">  4.50% Series due 2020</t>
  </si>
  <si>
    <t xml:space="preserve">  3.40% Series due 2020</t>
  </si>
  <si>
    <t xml:space="preserve">  4.85% Series due 2040</t>
  </si>
  <si>
    <t>Total First Mortgage Bonds</t>
  </si>
  <si>
    <t>%</t>
  </si>
  <si>
    <t>Pollution Control Revenue Bonds:</t>
  </si>
  <si>
    <t xml:space="preserve">  Revenue Bonds, Port of Morrow, Or:</t>
  </si>
  <si>
    <t xml:space="preserve"> </t>
  </si>
  <si>
    <t xml:space="preserve">    Series 2000, due 2027 (A)</t>
  </si>
  <si>
    <t xml:space="preserve">        -</t>
  </si>
  <si>
    <t xml:space="preserve">     -</t>
  </si>
  <si>
    <t xml:space="preserve">  Revenue Bonds, Humboldt County, Nv:</t>
  </si>
  <si>
    <t xml:space="preserve">    5.15% Series 2003, due 2024</t>
  </si>
  <si>
    <t xml:space="preserve">  Revenue Bonds, County of Sweetwater,  Wy:</t>
  </si>
  <si>
    <t xml:space="preserve">5.25% Series 2006, due 2026 </t>
  </si>
  <si>
    <t>Total Pollution Control Revenue Bonds</t>
  </si>
  <si>
    <t>(CHECK) Total 221XXX Account</t>
  </si>
  <si>
    <t>Total Long-Term Debt</t>
  </si>
  <si>
    <t>American Falls Dam Bonds Guarantee (B)</t>
  </si>
  <si>
    <t>Milner Dam Note Guarantee (page 4 of 8)</t>
  </si>
  <si>
    <t>Total LTD Including American Falls</t>
  </si>
  <si>
    <t xml:space="preserve">     and Milner Guarantee</t>
  </si>
  <si>
    <t>(CHECK) Total 224XXX Account</t>
  </si>
  <si>
    <t>Amounts represent Rate at Month End:</t>
  </si>
  <si>
    <t>(A)  Daily interest rate at December 31, 2010 =</t>
  </si>
  <si>
    <t>(B)  Daily interest rate at December 31, 2010 =</t>
  </si>
  <si>
    <t xml:space="preserve">      Revised Calculation to reflect only the accrual of interest, as we are actually expensing as O&amp;M additional annual expenses.  </t>
  </si>
  <si>
    <t xml:space="preserve">      Prior to this date, the calculation included the interest rate provided by cash management as well as the ongoing fees.</t>
  </si>
  <si>
    <t xml:space="preserve">      See back-up for November 2003 p.9 for fees, and update Nov 2005. ALC</t>
  </si>
  <si>
    <t>mainxl.hlp!</t>
  </si>
  <si>
    <t>mainxl.hlp!1840</t>
  </si>
  <si>
    <t>mainxl.hlp!1841</t>
  </si>
  <si>
    <t>PRO FORMA COST OF LONG-TERM DEBT</t>
  </si>
  <si>
    <t>As of 12/31/2025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</si>
  <si>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</si>
  <si>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</si>
  <si>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</si>
  <si>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</si>
  <si>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</si>
  <si>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</si>
  <si>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</si>
  <si>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</si>
  <si>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</si>
  <si>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</si>
  <si>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</si>
  <si>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</si>
  <si>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Coupon</t>
  </si>
  <si>
    <t>Settlement</t>
  </si>
  <si>
    <t>Maturity</t>
  </si>
  <si>
    <t>Principal Amount</t>
  </si>
  <si>
    <t>Discount/</t>
  </si>
  <si>
    <t>Issuance</t>
  </si>
  <si>
    <t>Net</t>
  </si>
  <si>
    <t xml:space="preserve">Yield To </t>
  </si>
  <si>
    <t xml:space="preserve">Effective </t>
  </si>
  <si>
    <t>No.</t>
  </si>
  <si>
    <t>Class and Series</t>
  </si>
  <si>
    <t>Rate</t>
  </si>
  <si>
    <t>Date</t>
  </si>
  <si>
    <t>Issued</t>
  </si>
  <si>
    <t>Outstanding</t>
  </si>
  <si>
    <t>Price</t>
  </si>
  <si>
    <t>(Premium)</t>
  </si>
  <si>
    <t>Costs</t>
  </si>
  <si>
    <t>Proceeds</t>
  </si>
  <si>
    <t xml:space="preserve">  4.30% Series due 2042</t>
  </si>
  <si>
    <t xml:space="preserve">  4.00% Series due 2043</t>
  </si>
  <si>
    <t xml:space="preserve">  3.65% Series due 2045</t>
  </si>
  <si>
    <t xml:space="preserve">  4.05% Series due 2046</t>
  </si>
  <si>
    <t xml:space="preserve">  4.20% Series due 2048</t>
  </si>
  <si>
    <t xml:space="preserve">  1.90% Series due 2030</t>
  </si>
  <si>
    <t xml:space="preserve">  4.99% Series due 2032</t>
  </si>
  <si>
    <t xml:space="preserve">  5.06% Series due 2042</t>
  </si>
  <si>
    <t xml:space="preserve">  5.06% Series due 2043</t>
  </si>
  <si>
    <t xml:space="preserve">  5.20% Series due 2053</t>
  </si>
  <si>
    <t xml:space="preserve">  5.50% Series due 2053</t>
  </si>
  <si>
    <t xml:space="preserve">  5.80% Series due 2054</t>
  </si>
  <si>
    <t xml:space="preserve">  5.20% Series due 2034</t>
  </si>
  <si>
    <t xml:space="preserve">  5.70% Series due 2055</t>
  </si>
  <si>
    <t>Sweetwater 1.70% Series 2006, due 2026</t>
  </si>
  <si>
    <t>TOTAL DEBT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</si>
</sst>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3" formatCode="_(* #,##0.00_);_(* \(#,##0.00\);_(* &quot;-&quot;??_);_(@_)"/>
    <numFmt numFmtId="164" formatCode="0.000"/>
    <numFmt numFmtId="165" formatCode="#,##0.000_);[Red]\(#,##0.000\)"/>
    <numFmt numFmtId="166" formatCode="0.000%"/>
    <numFmt numFmtId="167" formatCode="mm/dd/yy"/>
    <numFmt numFmtId="168" formatCode="0_);\(0\)"/>
    <numFmt numFmtId="169" formatCode="0.0000%"/>
    <numFmt numFmtId="170" formatCode="0.000000000"/>
    <numFmt numFmtId="171" formatCode="#,##0.0_);[Red]\(#,##0.0\)"/>
    <numFmt numFmtId="172" formatCode="_(* #,##0.000_);_(* \(#,##0.000\);_(* &quot;-&quot;??_);_(@_)"/>
    <numFmt numFmtId="173" formatCode="0.0%"/>
  </numFmts>
  <fonts count="19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sz val="12"/>
      <color indexed="9"/>
      <name val="Arial"/>
      <family val="2"/>
    </font>
    <font>
      <sz val="10"/>
      <name val="Arial Unicode MS"/>
      <family val="2"/>
    </font>
    <font>
      <u/>
      <sz val="10"/>
      <name val="Arial Unicode MS"/>
      <family val="2"/>
    </font>
    <font>
      <sz val="5"/>
      <name val="Arial Unicode MS"/>
      <family val="2"/>
    </font>
    <font>
      <b/>
      <sz val="10"/>
      <name val="Arial Unicode MS"/>
      <family val="2"/>
    </font>
    <font>
      <sz val="9"/>
      <name val="Arial Unicode MS"/>
      <family val="2"/>
    </font>
    <font>
      <b/>
      <sz val="9"/>
      <color indexed="39"/>
      <name val="Arial"/>
      <family val="2"/>
    </font>
    <font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0" fontId="2" fillId="0" borderId="0" applyFont="0" applyFill="0" applyBorder="0" applyAlignment="0" applyProtection="0"/>
    <xf numFmtId="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/>
    <xf numFmtId="0" fontId="2" fillId="0" borderId="0"/>
    <xf numFmtId="9" fontId="12" fillId="0" borderId="0" applyFont="0" applyFill="0" applyBorder="0" applyAlignment="0" applyProtection="0"/>
    <xf numFmtId="40" fontId="2" fillId="0" borderId="0" applyFont="0" applyFill="0" applyBorder="0" applyAlignment="0" applyProtection="0"/>
    <xf numFmtId="8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38" fontId="4" fillId="0" borderId="0" xfId="1" applyNumberFormat="1" applyFont="1"/>
    <xf numFmtId="38" fontId="4" fillId="0" borderId="0" xfId="1" applyNumberFormat="1" applyFont="1" applyBorder="1"/>
    <xf numFmtId="38" fontId="4" fillId="0" borderId="1" xfId="1" applyNumberFormat="1" applyFont="1" applyBorder="1"/>
    <xf numFmtId="6" fontId="4" fillId="0" borderId="0" xfId="2" applyNumberFormat="1" applyFont="1" applyBorder="1"/>
    <xf numFmtId="6" fontId="4" fillId="0" borderId="2" xfId="2" applyNumberFormat="1" applyFont="1" applyBorder="1"/>
    <xf numFmtId="40" fontId="4" fillId="0" borderId="0" xfId="1" applyFont="1"/>
    <xf numFmtId="38" fontId="4" fillId="0" borderId="0" xfId="1" applyNumberFormat="1" applyFont="1" applyFill="1"/>
    <xf numFmtId="38" fontId="4" fillId="0" borderId="0" xfId="1" applyNumberFormat="1" applyFont="1" applyFill="1" applyBorder="1"/>
    <xf numFmtId="38" fontId="4" fillId="0" borderId="1" xfId="1" applyNumberFormat="1" applyFont="1" applyFill="1" applyBorder="1"/>
    <xf numFmtId="6" fontId="4" fillId="0" borderId="0" xfId="2" applyNumberFormat="1" applyFont="1" applyFill="1"/>
    <xf numFmtId="6" fontId="4" fillId="0" borderId="0" xfId="2" applyNumberFormat="1" applyFont="1" applyFill="1" applyBorder="1"/>
    <xf numFmtId="6" fontId="4" fillId="0" borderId="3" xfId="2" applyNumberFormat="1" applyFont="1" applyFill="1" applyBorder="1"/>
    <xf numFmtId="6" fontId="4" fillId="0" borderId="2" xfId="2" applyNumberFormat="1" applyFont="1" applyFill="1" applyBorder="1"/>
    <xf numFmtId="6" fontId="4" fillId="0" borderId="1" xfId="2" applyNumberFormat="1" applyFont="1" applyFill="1" applyBorder="1"/>
    <xf numFmtId="6" fontId="4" fillId="0" borderId="3" xfId="2" applyNumberFormat="1" applyFont="1" applyBorder="1"/>
    <xf numFmtId="41" fontId="5" fillId="0" borderId="1" xfId="1" applyNumberFormat="1" applyFont="1" applyFill="1" applyBorder="1"/>
    <xf numFmtId="41" fontId="3" fillId="0" borderId="1" xfId="1" applyNumberFormat="1" applyFont="1" applyFill="1" applyBorder="1"/>
    <xf numFmtId="43" fontId="4" fillId="0" borderId="1" xfId="1" applyNumberFormat="1" applyFont="1" applyBorder="1"/>
    <xf numFmtId="165" fontId="4" fillId="0" borderId="0" xfId="1" applyNumberFormat="1" applyFont="1" applyFill="1"/>
    <xf numFmtId="38" fontId="4" fillId="0" borderId="0" xfId="1" applyNumberFormat="1" applyFont="1" applyFill="1" applyProtection="1"/>
    <xf numFmtId="169" fontId="4" fillId="0" borderId="0" xfId="3" applyNumberFormat="1" applyFont="1"/>
    <xf numFmtId="0" fontId="6" fillId="0" borderId="0" xfId="0" applyFont="1" applyAlignment="1">
      <alignment horizontal="centerContinuous"/>
    </xf>
    <xf numFmtId="37" fontId="6" fillId="0" borderId="0" xfId="0" applyNumberFormat="1" applyFont="1" applyAlignment="1">
      <alignment horizontal="centerContinuous"/>
    </xf>
    <xf numFmtId="166" fontId="6" fillId="0" borderId="0" xfId="0" applyNumberFormat="1" applyFont="1" applyAlignment="1">
      <alignment horizontal="centerContinuous"/>
    </xf>
    <xf numFmtId="0" fontId="6" fillId="0" borderId="0" xfId="0" applyFont="1"/>
    <xf numFmtId="0" fontId="7" fillId="0" borderId="0" xfId="0" applyFont="1" applyAlignment="1">
      <alignment horizontal="centerContinuous"/>
    </xf>
    <xf numFmtId="37" fontId="7" fillId="0" borderId="0" xfId="0" applyNumberFormat="1" applyFont="1" applyAlignment="1">
      <alignment horizontal="centerContinuous"/>
    </xf>
    <xf numFmtId="166" fontId="7" fillId="0" borderId="0" xfId="0" applyNumberFormat="1" applyFont="1" applyAlignment="1">
      <alignment horizontal="centerContinuous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37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37" fontId="8" fillId="0" borderId="0" xfId="0" applyNumberFormat="1" applyFont="1"/>
    <xf numFmtId="166" fontId="8" fillId="0" borderId="0" xfId="0" applyNumberFormat="1" applyFont="1"/>
    <xf numFmtId="37" fontId="9" fillId="0" borderId="0" xfId="0" applyNumberFormat="1" applyFont="1" applyAlignment="1">
      <alignment horizontal="centerContinuous"/>
    </xf>
    <xf numFmtId="166" fontId="8" fillId="0" borderId="0" xfId="0" applyNumberFormat="1" applyFont="1" applyAlignment="1">
      <alignment horizontal="centerContinuous"/>
    </xf>
    <xf numFmtId="0" fontId="8" fillId="0" borderId="1" xfId="0" applyFont="1" applyBorder="1" applyAlignment="1">
      <alignment horizontal="center"/>
    </xf>
    <xf numFmtId="37" fontId="8" fillId="0" borderId="1" xfId="0" applyNumberFormat="1" applyFont="1" applyBorder="1" applyAlignment="1">
      <alignment horizontal="center"/>
    </xf>
    <xf numFmtId="37" fontId="9" fillId="0" borderId="0" xfId="0" applyNumberFormat="1" applyFont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166" fontId="9" fillId="0" borderId="0" xfId="0" applyNumberFormat="1" applyFont="1" applyAlignment="1">
      <alignment horizontal="center"/>
    </xf>
    <xf numFmtId="37" fontId="9" fillId="0" borderId="0" xfId="0" applyNumberFormat="1" applyFont="1"/>
    <xf numFmtId="40" fontId="7" fillId="0" borderId="0" xfId="1" applyFont="1"/>
    <xf numFmtId="166" fontId="8" fillId="0" borderId="1" xfId="0" applyNumberFormat="1" applyFont="1" applyBorder="1"/>
    <xf numFmtId="5" fontId="8" fillId="0" borderId="2" xfId="0" applyNumberFormat="1" applyFont="1" applyBorder="1"/>
    <xf numFmtId="166" fontId="8" fillId="0" borderId="2" xfId="0" applyNumberFormat="1" applyFont="1" applyBorder="1"/>
    <xf numFmtId="0" fontId="7" fillId="0" borderId="0" xfId="0" applyFont="1" applyAlignment="1">
      <alignment horizontal="center"/>
    </xf>
    <xf numFmtId="37" fontId="7" fillId="0" borderId="0" xfId="0" applyNumberFormat="1" applyFont="1"/>
    <xf numFmtId="166" fontId="7" fillId="0" borderId="0" xfId="0" applyNumberFormat="1" applyFont="1"/>
    <xf numFmtId="0" fontId="7" fillId="0" borderId="0" xfId="0" applyFont="1" applyAlignment="1">
      <alignment horizontal="left"/>
    </xf>
    <xf numFmtId="0" fontId="10" fillId="0" borderId="0" xfId="0" applyFont="1"/>
    <xf numFmtId="166" fontId="7" fillId="0" borderId="0" xfId="0" applyNumberFormat="1" applyFont="1" applyAlignment="1">
      <alignment horizontal="left"/>
    </xf>
    <xf numFmtId="37" fontId="7" fillId="0" borderId="0" xfId="0" applyNumberFormat="1" applyFont="1" applyAlignment="1">
      <alignment horizontal="left"/>
    </xf>
    <xf numFmtId="38" fontId="4" fillId="0" borderId="0" xfId="2" applyNumberFormat="1" applyFont="1" applyFill="1" applyBorder="1"/>
    <xf numFmtId="0" fontId="11" fillId="0" borderId="0" xfId="0" applyFont="1" applyAlignment="1">
      <alignment horizontal="left"/>
    </xf>
    <xf numFmtId="0" fontId="12" fillId="0" borderId="0" xfId="4"/>
    <xf numFmtId="0" fontId="12" fillId="0" borderId="0" xfId="4" applyAlignment="1">
      <alignment horizontal="center"/>
    </xf>
    <xf numFmtId="0" fontId="12" fillId="0" borderId="1" xfId="4" applyBorder="1"/>
    <xf numFmtId="0" fontId="13" fillId="0" borderId="0" xfId="4" applyFont="1"/>
    <xf numFmtId="0" fontId="12" fillId="0" borderId="0" xfId="4" applyAlignment="1">
      <alignment horizontal="left" indent="1"/>
    </xf>
    <xf numFmtId="0" fontId="14" fillId="0" borderId="0" xfId="4" applyFont="1" applyAlignment="1">
      <alignment horizontal="left" vertical="top"/>
    </xf>
    <xf numFmtId="0" fontId="12" fillId="0" borderId="0" xfId="4" applyAlignment="1">
      <alignment horizontal="left" indent="2"/>
    </xf>
    <xf numFmtId="0" fontId="14" fillId="0" borderId="2" xfId="4" applyFont="1" applyBorder="1" applyAlignment="1">
      <alignment horizontal="left" vertical="top"/>
    </xf>
    <xf numFmtId="0" fontId="16" fillId="0" borderId="0" xfId="5" applyFont="1"/>
    <xf numFmtId="14" fontId="12" fillId="0" borderId="0" xfId="4" applyNumberFormat="1"/>
    <xf numFmtId="38" fontId="12" fillId="0" borderId="0" xfId="4" applyNumberFormat="1"/>
    <xf numFmtId="165" fontId="12" fillId="0" borderId="0" xfId="4" applyNumberFormat="1"/>
    <xf numFmtId="171" fontId="12" fillId="0" borderId="0" xfId="4" applyNumberFormat="1"/>
    <xf numFmtId="10" fontId="12" fillId="0" borderId="0" xfId="4" applyNumberFormat="1"/>
    <xf numFmtId="164" fontId="12" fillId="0" borderId="0" xfId="4" applyNumberFormat="1"/>
    <xf numFmtId="38" fontId="12" fillId="0" borderId="2" xfId="4" applyNumberFormat="1" applyBorder="1"/>
    <xf numFmtId="0" fontId="12" fillId="0" borderId="2" xfId="4" applyBorder="1"/>
    <xf numFmtId="171" fontId="12" fillId="0" borderId="2" xfId="4" applyNumberFormat="1" applyBorder="1"/>
    <xf numFmtId="10" fontId="12" fillId="0" borderId="2" xfId="4" applyNumberFormat="1" applyBorder="1"/>
    <xf numFmtId="0" fontId="4" fillId="0" borderId="0" xfId="5" applyFont="1" applyAlignment="1">
      <alignment horizontal="centerContinuous"/>
    </xf>
    <xf numFmtId="0" fontId="4" fillId="0" borderId="0" xfId="5" applyFont="1"/>
    <xf numFmtId="168" fontId="4" fillId="0" borderId="0" xfId="5" applyNumberFormat="1" applyFont="1" applyAlignment="1">
      <alignment horizontal="left"/>
    </xf>
    <xf numFmtId="170" fontId="4" fillId="0" borderId="0" xfId="5" applyNumberFormat="1" applyFont="1"/>
    <xf numFmtId="0" fontId="4" fillId="0" borderId="0" xfId="5" applyFont="1" applyAlignment="1">
      <alignment horizontal="center"/>
    </xf>
    <xf numFmtId="0" fontId="4" fillId="0" borderId="1" xfId="5" applyFont="1" applyBorder="1" applyAlignment="1">
      <alignment horizontal="centerContinuous"/>
    </xf>
    <xf numFmtId="0" fontId="4" fillId="0" borderId="1" xfId="5" applyFont="1" applyBorder="1"/>
    <xf numFmtId="0" fontId="4" fillId="0" borderId="1" xfId="5" applyFont="1" applyBorder="1" applyAlignment="1">
      <alignment horizontal="center"/>
    </xf>
    <xf numFmtId="168" fontId="4" fillId="0" borderId="1" xfId="5" applyNumberFormat="1" applyFont="1" applyBorder="1" applyAlignment="1">
      <alignment horizontal="left"/>
    </xf>
    <xf numFmtId="14" fontId="4" fillId="0" borderId="0" xfId="5" applyNumberFormat="1" applyFont="1" applyAlignment="1">
      <alignment horizontal="right"/>
    </xf>
    <xf numFmtId="165" fontId="4" fillId="0" borderId="0" xfId="5" applyNumberFormat="1" applyFont="1"/>
    <xf numFmtId="164" fontId="4" fillId="0" borderId="0" xfId="5" applyNumberFormat="1" applyFont="1"/>
    <xf numFmtId="168" fontId="4" fillId="0" borderId="0" xfId="5" quotePrefix="1" applyNumberFormat="1" applyFont="1" applyAlignment="1">
      <alignment horizontal="left"/>
    </xf>
    <xf numFmtId="164" fontId="4" fillId="0" borderId="1" xfId="5" applyNumberFormat="1" applyFont="1" applyBorder="1"/>
    <xf numFmtId="0" fontId="3" fillId="0" borderId="0" xfId="5" applyFont="1"/>
    <xf numFmtId="6" fontId="4" fillId="0" borderId="1" xfId="5" applyNumberFormat="1" applyFont="1" applyBorder="1"/>
    <xf numFmtId="6" fontId="4" fillId="0" borderId="0" xfId="5" applyNumberFormat="1" applyFont="1"/>
    <xf numFmtId="10" fontId="4" fillId="0" borderId="0" xfId="3" applyNumberFormat="1" applyFont="1" applyFill="1"/>
    <xf numFmtId="0" fontId="4" fillId="0" borderId="0" xfId="5" applyFont="1" applyAlignment="1">
      <alignment horizontal="right"/>
    </xf>
    <xf numFmtId="10" fontId="4" fillId="0" borderId="0" xfId="5" applyNumberFormat="1" applyFont="1"/>
    <xf numFmtId="41" fontId="4" fillId="0" borderId="0" xfId="5" quotePrefix="1" applyNumberFormat="1" applyFont="1"/>
    <xf numFmtId="172" fontId="4" fillId="0" borderId="0" xfId="5" applyNumberFormat="1" applyFont="1" applyAlignment="1">
      <alignment horizontal="center"/>
    </xf>
    <xf numFmtId="0" fontId="4" fillId="0" borderId="0" xfId="5" applyFont="1" applyAlignment="1">
      <alignment horizontal="left" indent="1"/>
    </xf>
    <xf numFmtId="164" fontId="4" fillId="0" borderId="3" xfId="5" applyNumberFormat="1" applyFont="1" applyBorder="1"/>
    <xf numFmtId="0" fontId="4" fillId="0" borderId="3" xfId="5" applyFont="1" applyBorder="1"/>
    <xf numFmtId="43" fontId="4" fillId="0" borderId="1" xfId="5" applyNumberFormat="1" applyFont="1" applyBorder="1"/>
    <xf numFmtId="164" fontId="4" fillId="0" borderId="2" xfId="5" applyNumberFormat="1" applyFont="1" applyBorder="1"/>
    <xf numFmtId="0" fontId="4" fillId="0" borderId="2" xfId="5" applyFont="1" applyBorder="1"/>
    <xf numFmtId="0" fontId="4" fillId="0" borderId="0" xfId="5" quotePrefix="1" applyFont="1" applyAlignment="1">
      <alignment horizontal="left"/>
    </xf>
    <xf numFmtId="0" fontId="4" fillId="0" borderId="0" xfId="5" applyFont="1" applyAlignment="1">
      <alignment horizontal="left"/>
    </xf>
    <xf numFmtId="6" fontId="4" fillId="0" borderId="2" xfId="5" applyNumberFormat="1" applyFont="1" applyBorder="1"/>
    <xf numFmtId="38" fontId="4" fillId="0" borderId="0" xfId="5" applyNumberFormat="1" applyFont="1"/>
    <xf numFmtId="10" fontId="5" fillId="0" borderId="0" xfId="5" applyNumberFormat="1" applyFont="1"/>
    <xf numFmtId="14" fontId="4" fillId="0" borderId="0" xfId="5" applyNumberFormat="1" applyFont="1"/>
    <xf numFmtId="2" fontId="4" fillId="0" borderId="0" xfId="5" applyNumberFormat="1" applyFont="1"/>
    <xf numFmtId="166" fontId="12" fillId="0" borderId="0" xfId="4" applyNumberFormat="1"/>
    <xf numFmtId="166" fontId="12" fillId="0" borderId="1" xfId="4" applyNumberFormat="1" applyBorder="1"/>
    <xf numFmtId="166" fontId="12" fillId="0" borderId="2" xfId="4" applyNumberFormat="1" applyBorder="1"/>
    <xf numFmtId="0" fontId="12" fillId="0" borderId="1" xfId="4" applyBorder="1" applyAlignment="1">
      <alignment horizontal="center"/>
    </xf>
    <xf numFmtId="10" fontId="16" fillId="0" borderId="0" xfId="5" applyNumberFormat="1" applyFont="1"/>
    <xf numFmtId="166" fontId="16" fillId="0" borderId="0" xfId="5" applyNumberFormat="1" applyFont="1"/>
    <xf numFmtId="14" fontId="7" fillId="0" borderId="0" xfId="0" applyNumberFormat="1" applyFont="1"/>
    <xf numFmtId="9" fontId="12" fillId="0" borderId="0" xfId="3" applyFont="1"/>
    <xf numFmtId="173" fontId="8" fillId="0" borderId="0" xfId="0" applyNumberFormat="1" applyFont="1"/>
    <xf numFmtId="38" fontId="12" fillId="0" borderId="1" xfId="4" applyNumberFormat="1" applyBorder="1"/>
    <xf numFmtId="171" fontId="12" fillId="0" borderId="1" xfId="4" applyNumberFormat="1" applyBorder="1"/>
    <xf numFmtId="37" fontId="8" fillId="0" borderId="1" xfId="0" applyNumberFormat="1" applyFont="1" applyBorder="1"/>
    <xf numFmtId="173" fontId="8" fillId="0" borderId="1" xfId="0" applyNumberFormat="1" applyFont="1" applyBorder="1"/>
    <xf numFmtId="166" fontId="8" fillId="2" borderId="0" xfId="0" applyNumberFormat="1" applyFont="1" applyFill="1"/>
    <xf numFmtId="15" fontId="7" fillId="0" borderId="0" xfId="0" applyNumberFormat="1" applyFont="1" applyAlignment="1">
      <alignment horizontal="center"/>
    </xf>
    <xf numFmtId="0" fontId="3" fillId="0" borderId="0" xfId="5" applyFont="1" applyAlignment="1">
      <alignment horizontal="center"/>
    </xf>
    <xf numFmtId="167" fontId="17" fillId="0" borderId="0" xfId="5" applyNumberFormat="1" applyFont="1" applyAlignment="1">
      <alignment horizontal="center"/>
    </xf>
    <xf numFmtId="0" fontId="12" fillId="0" borderId="0" xfId="4" applyAlignment="1">
      <alignment horizontal="left"/>
    </xf>
    <xf numFmtId="0" fontId="15" fillId="0" borderId="0" xfId="4" applyFont="1" applyAlignment="1">
      <alignment horizontal="center"/>
    </xf>
    <xf numFmtId="0" fontId="12" fillId="0" borderId="0" xfId="4" applyAlignment="1">
      <alignment horizontal="center"/>
    </xf>
    <xf numFmtId="0" fontId="12" fillId="0" borderId="1" xfId="4" applyBorder="1" applyAlignment="1">
      <alignment horizontal="center"/>
    </xf>
  </cellXfs>
  <cellStyles count="11">
    <cellStyle name="Comma" xfId="1" builtinId="3"/>
    <cellStyle name="Comma 2" xfId="7" xr:uid="{00000000-0005-0000-0000-000001000000}"/>
    <cellStyle name="Currency" xfId="2" builtinId="4"/>
    <cellStyle name="Currency 2" xfId="8" xr:uid="{00000000-0005-0000-0000-000003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9" xr:uid="{00000000-0005-0000-0000-000007000000}"/>
    <cellStyle name="Percent" xfId="3" builtinId="5"/>
    <cellStyle name="Percent 2" xfId="6" xr:uid="{00000000-0005-0000-0000-000009000000}"/>
    <cellStyle name="Percent 3" xfId="10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O31"/>
  <sheetViews>
    <sheetView tabSelected="1" workbookViewId="0">
      <selection activeCell="H13" sqref="H13"/>
    </sheetView>
  </sheetViews>
  <sheetFormatPr defaultColWidth="9.140625" defaultRowHeight="15"/>
  <cols>
    <col min="1" max="1" width="3.5703125" style="49" customWidth="1"/>
    <col min="2" max="2" width="1.28515625" style="29" customWidth="1"/>
    <col min="3" max="3" width="33.85546875" style="29" customWidth="1"/>
    <col min="4" max="4" width="16.7109375" style="50" customWidth="1"/>
    <col min="5" max="5" width="1.28515625" style="50" customWidth="1"/>
    <col min="6" max="6" width="11" style="51" customWidth="1"/>
    <col min="7" max="7" width="1.28515625" style="51" customWidth="1"/>
    <col min="8" max="8" width="11" style="51" customWidth="1"/>
    <col min="9" max="9" width="1.28515625" style="51" customWidth="1"/>
    <col min="10" max="10" width="11" style="51" customWidth="1"/>
    <col min="11" max="12" width="9.140625" style="29"/>
    <col min="13" max="13" width="12" style="29" customWidth="1"/>
    <col min="14" max="14" width="12.7109375" style="29" bestFit="1" customWidth="1"/>
    <col min="15" max="15" width="20" style="29" bestFit="1" customWidth="1"/>
    <col min="16" max="16384" width="9.140625" style="29"/>
  </cols>
  <sheetData>
    <row r="1" spans="1:15" s="25" customFormat="1" ht="15.75">
      <c r="A1" s="22" t="s">
        <v>0</v>
      </c>
      <c r="B1" s="22"/>
      <c r="C1" s="22"/>
      <c r="D1" s="23"/>
      <c r="E1" s="23"/>
      <c r="F1" s="24"/>
      <c r="G1" s="24"/>
      <c r="H1" s="24"/>
      <c r="I1" s="24"/>
      <c r="J1" s="24"/>
    </row>
    <row r="2" spans="1:15" s="25" customFormat="1" ht="15.75">
      <c r="A2" s="22"/>
      <c r="B2" s="22"/>
      <c r="C2" s="22"/>
      <c r="D2" s="23"/>
      <c r="E2" s="23"/>
      <c r="F2" s="24"/>
      <c r="G2" s="24"/>
      <c r="H2" s="24"/>
      <c r="I2" s="24"/>
      <c r="J2" s="24"/>
    </row>
    <row r="3" spans="1:15">
      <c r="A3" s="26" t="s">
        <v>1</v>
      </c>
      <c r="B3" s="26"/>
      <c r="C3" s="26"/>
      <c r="D3" s="27"/>
      <c r="E3" s="27"/>
      <c r="F3" s="28"/>
      <c r="G3" s="28"/>
      <c r="H3" s="28"/>
      <c r="I3" s="28"/>
      <c r="J3" s="28"/>
    </row>
    <row r="4" spans="1:15">
      <c r="A4" s="26" t="s">
        <v>2</v>
      </c>
      <c r="B4" s="26"/>
      <c r="C4" s="26"/>
      <c r="D4" s="27"/>
      <c r="E4" s="27"/>
      <c r="F4" s="28"/>
      <c r="G4" s="28"/>
      <c r="H4" s="28"/>
      <c r="I4" s="28"/>
      <c r="J4" s="28"/>
    </row>
    <row r="5" spans="1:15">
      <c r="A5" s="26" t="s">
        <v>3</v>
      </c>
      <c r="B5" s="26"/>
      <c r="C5" s="26"/>
      <c r="D5" s="27"/>
      <c r="E5" s="27"/>
      <c r="F5" s="28"/>
      <c r="G5" s="28"/>
      <c r="H5" s="28"/>
      <c r="I5" s="28"/>
      <c r="J5" s="28"/>
    </row>
    <row r="6" spans="1:15">
      <c r="A6" s="126" t="s">
        <v>4</v>
      </c>
      <c r="B6" s="126"/>
      <c r="C6" s="126"/>
      <c r="D6" s="126"/>
      <c r="E6" s="126"/>
      <c r="F6" s="126"/>
      <c r="G6" s="126"/>
      <c r="H6" s="126"/>
      <c r="I6" s="126"/>
      <c r="J6" s="126"/>
    </row>
    <row r="7" spans="1:15" ht="15.75">
      <c r="A7" s="22"/>
      <c r="B7" s="26"/>
      <c r="C7" s="26"/>
      <c r="D7" s="27"/>
      <c r="E7" s="27"/>
      <c r="F7" s="28"/>
      <c r="G7" s="28"/>
      <c r="H7" s="28"/>
      <c r="I7" s="28"/>
      <c r="J7" s="28"/>
    </row>
    <row r="8" spans="1:15">
      <c r="A8" s="30"/>
      <c r="B8" s="31"/>
      <c r="C8" s="31" t="str">
        <f>"(1)"</f>
        <v>(1)</v>
      </c>
      <c r="D8" s="32" t="str">
        <f>"(2)"</f>
        <v>(2)</v>
      </c>
      <c r="E8" s="32"/>
      <c r="F8" s="33" t="str">
        <f>"(3)"</f>
        <v>(3)</v>
      </c>
      <c r="G8" s="33"/>
      <c r="H8" s="33" t="str">
        <f>"(4)"</f>
        <v>(4)</v>
      </c>
      <c r="I8" s="33"/>
      <c r="J8" s="33" t="str">
        <f>"(5)"</f>
        <v>(5)</v>
      </c>
    </row>
    <row r="9" spans="1:15">
      <c r="A9" s="34"/>
      <c r="B9" s="30"/>
      <c r="C9" s="30"/>
      <c r="D9" s="35"/>
      <c r="E9" s="35"/>
      <c r="F9" s="36"/>
      <c r="G9" s="36"/>
      <c r="H9" s="36"/>
      <c r="I9" s="36"/>
      <c r="J9" s="36"/>
    </row>
    <row r="10" spans="1:15">
      <c r="A10" s="31" t="s">
        <v>5</v>
      </c>
      <c r="B10" s="30"/>
      <c r="C10" s="30"/>
      <c r="D10" s="37" t="s">
        <v>6</v>
      </c>
      <c r="E10" s="37"/>
      <c r="F10" s="38"/>
      <c r="G10" s="38"/>
      <c r="H10" s="33" t="s">
        <v>7</v>
      </c>
      <c r="I10" s="33"/>
      <c r="J10" s="33" t="s">
        <v>8</v>
      </c>
    </row>
    <row r="11" spans="1:15">
      <c r="A11" s="39" t="s">
        <v>9</v>
      </c>
      <c r="B11" s="30"/>
      <c r="C11" s="30"/>
      <c r="D11" s="40" t="s">
        <v>10</v>
      </c>
      <c r="E11" s="41"/>
      <c r="F11" s="42" t="s">
        <v>11</v>
      </c>
      <c r="G11" s="43"/>
      <c r="H11" s="42" t="s">
        <v>12</v>
      </c>
      <c r="I11" s="43"/>
      <c r="J11" s="42" t="s">
        <v>12</v>
      </c>
    </row>
    <row r="12" spans="1:15">
      <c r="A12" s="31"/>
      <c r="B12" s="30"/>
      <c r="C12" s="30"/>
      <c r="D12" s="35"/>
      <c r="E12" s="44"/>
      <c r="F12" s="36"/>
      <c r="G12" s="36"/>
      <c r="H12" s="36"/>
      <c r="I12" s="36"/>
      <c r="J12" s="36"/>
      <c r="M12" s="45"/>
    </row>
    <row r="13" spans="1:15">
      <c r="A13" s="31">
        <v>1</v>
      </c>
      <c r="B13" s="30" t="s">
        <v>13</v>
      </c>
      <c r="C13" s="30"/>
      <c r="D13" s="35">
        <f>+'Cost of Long Term Debt'!M40</f>
        <v>3461300</v>
      </c>
      <c r="E13" s="35"/>
      <c r="F13" s="120">
        <f>D13/D18</f>
        <v>0.49017886224916091</v>
      </c>
      <c r="G13" s="36"/>
      <c r="H13" s="36">
        <f>+'Cost of Long Term Debt'!W40</f>
        <v>5.1316708957771996E-2</v>
      </c>
      <c r="I13" s="36"/>
      <c r="J13" s="125">
        <f>F13*H13</f>
        <v>2.5154366011292E-2</v>
      </c>
    </row>
    <row r="14" spans="1:15">
      <c r="A14" s="31"/>
      <c r="B14" s="30"/>
      <c r="C14" s="30"/>
      <c r="D14" s="35"/>
      <c r="E14" s="35"/>
      <c r="F14" s="120"/>
      <c r="G14" s="36"/>
      <c r="H14" s="36"/>
      <c r="I14" s="36"/>
      <c r="J14" s="36"/>
    </row>
    <row r="15" spans="1:15">
      <c r="A15" s="31"/>
      <c r="B15" s="30"/>
      <c r="C15" s="30"/>
      <c r="D15" s="35"/>
      <c r="E15" s="35"/>
      <c r="F15" s="120"/>
      <c r="G15" s="36"/>
      <c r="H15" s="36"/>
      <c r="I15" s="36"/>
      <c r="J15" s="36"/>
    </row>
    <row r="16" spans="1:15">
      <c r="A16" s="31">
        <v>3</v>
      </c>
      <c r="B16" s="30" t="s">
        <v>14</v>
      </c>
      <c r="C16" s="30"/>
      <c r="D16" s="123">
        <v>3600000</v>
      </c>
      <c r="E16" s="35"/>
      <c r="F16" s="124">
        <f>D16/D18</f>
        <v>0.50982113775083904</v>
      </c>
      <c r="G16" s="36"/>
      <c r="H16" s="36">
        <v>0.104</v>
      </c>
      <c r="I16" s="33" t="s">
        <v>15</v>
      </c>
      <c r="J16" s="46">
        <f>F16*H16</f>
        <v>5.3021398326087259E-2</v>
      </c>
      <c r="N16" s="118"/>
      <c r="O16" s="45"/>
    </row>
    <row r="17" spans="1:15">
      <c r="A17" s="31"/>
      <c r="B17" s="30"/>
      <c r="C17" s="30"/>
      <c r="D17" s="35"/>
      <c r="E17" s="35"/>
      <c r="F17" s="36"/>
      <c r="G17" s="36"/>
      <c r="H17" s="36"/>
      <c r="I17" s="36"/>
      <c r="J17" s="36"/>
    </row>
    <row r="18" spans="1:15" ht="15.75" thickBot="1">
      <c r="A18" s="31">
        <v>4</v>
      </c>
      <c r="B18" s="30" t="s">
        <v>16</v>
      </c>
      <c r="D18" s="47">
        <f>SUM(D13:D17)</f>
        <v>7061300</v>
      </c>
      <c r="E18" s="35"/>
      <c r="F18" s="48">
        <f>SUM(F13:F17)</f>
        <v>1</v>
      </c>
      <c r="G18" s="36"/>
      <c r="H18" s="36"/>
      <c r="I18" s="36"/>
      <c r="J18" s="48">
        <f>SUM(J13:J16)</f>
        <v>7.8175764337379258E-2</v>
      </c>
      <c r="N18" s="118"/>
      <c r="O18" s="45"/>
    </row>
    <row r="19" spans="1:15" ht="15.75" thickTop="1">
      <c r="A19" s="31"/>
      <c r="B19" s="30"/>
      <c r="C19" s="30"/>
      <c r="D19" s="35"/>
      <c r="E19" s="35"/>
      <c r="F19" s="36"/>
      <c r="G19" s="36"/>
      <c r="H19" s="36"/>
      <c r="I19" s="36"/>
      <c r="J19" s="36"/>
    </row>
    <row r="20" spans="1:15">
      <c r="A20" s="30"/>
      <c r="B20" s="30"/>
      <c r="C20" s="30"/>
      <c r="D20" s="35"/>
      <c r="E20" s="35"/>
      <c r="F20" s="36"/>
      <c r="G20" s="36"/>
      <c r="H20" s="36"/>
      <c r="I20" s="36"/>
      <c r="J20" s="36"/>
    </row>
    <row r="21" spans="1:15" ht="15.75">
      <c r="A21" s="53" t="s">
        <v>17</v>
      </c>
      <c r="B21" s="30"/>
      <c r="C21" s="30"/>
      <c r="D21" s="35"/>
      <c r="E21" s="35"/>
      <c r="F21" s="36"/>
      <c r="G21" s="36"/>
      <c r="H21" s="36"/>
      <c r="I21" s="36"/>
      <c r="J21" s="36"/>
    </row>
    <row r="22" spans="1:15">
      <c r="A22" s="52" t="s">
        <v>18</v>
      </c>
      <c r="C22" s="52"/>
      <c r="D22" s="55"/>
      <c r="E22" s="55"/>
      <c r="F22" s="54"/>
      <c r="G22" s="54"/>
      <c r="H22" s="54"/>
      <c r="I22" s="54"/>
      <c r="J22" s="54"/>
    </row>
    <row r="23" spans="1:15">
      <c r="A23" s="52"/>
    </row>
    <row r="29" spans="1:15">
      <c r="A29" s="57"/>
    </row>
    <row r="30" spans="1:15">
      <c r="A30" s="57"/>
    </row>
    <row r="31" spans="1:15">
      <c r="A31" s="57"/>
    </row>
  </sheetData>
  <mergeCells count="1">
    <mergeCell ref="A6:J6"/>
  </mergeCells>
  <phoneticPr fontId="0" type="noConversion"/>
  <printOptions horizontalCentered="1"/>
  <pageMargins left="0.75" right="0.25" top="1" bottom="1" header="0.5" footer="0.5"/>
  <pageSetup scale="96" orientation="portrait" r:id="rId1"/>
  <headerFooter alignWithMargins="0">
    <oddFooter>&amp;R&amp;"Arial,Regular"Exhibit No. 17
Case No. IPC-E-25-16
B. Buckham, IPC
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indexed="32"/>
    <pageSetUpPr fitToPage="1"/>
  </sheetPr>
  <dimension ref="A1:U172"/>
  <sheetViews>
    <sheetView workbookViewId="0">
      <selection sqref="A1:Q1"/>
    </sheetView>
  </sheetViews>
  <sheetFormatPr defaultColWidth="9.140625" defaultRowHeight="12"/>
  <cols>
    <col min="1" max="1" width="45.140625" style="78" customWidth="1"/>
    <col min="2" max="2" width="14" style="78" bestFit="1" customWidth="1"/>
    <col min="3" max="3" width="1.7109375" style="78" customWidth="1"/>
    <col min="4" max="4" width="14" style="78" bestFit="1" customWidth="1"/>
    <col min="5" max="5" width="8.7109375" style="78" customWidth="1"/>
    <col min="6" max="6" width="8.42578125" style="78" customWidth="1"/>
    <col min="7" max="7" width="3.85546875" style="78" bestFit="1" customWidth="1"/>
    <col min="8" max="8" width="11.42578125" style="78" customWidth="1"/>
    <col min="9" max="9" width="1.7109375" style="78" customWidth="1"/>
    <col min="10" max="10" width="6.140625" style="78" customWidth="1"/>
    <col min="11" max="11" width="14" style="78" bestFit="1" customWidth="1"/>
    <col min="12" max="12" width="1.7109375" style="78" customWidth="1"/>
    <col min="13" max="13" width="11.5703125" style="78" customWidth="1"/>
    <col min="14" max="14" width="4.140625" style="79" bestFit="1" customWidth="1"/>
    <col min="15" max="15" width="14" style="78" bestFit="1" customWidth="1"/>
    <col min="16" max="16" width="1.7109375" style="78" customWidth="1"/>
    <col min="17" max="17" width="11.7109375" style="78" customWidth="1"/>
    <col min="18" max="18" width="1.7109375" style="78" customWidth="1"/>
    <col min="19" max="19" width="7.42578125" style="78" customWidth="1"/>
    <col min="20" max="20" width="2.7109375" style="78" customWidth="1"/>
    <col min="21" max="16384" width="9.140625" style="78"/>
  </cols>
  <sheetData>
    <row r="1" spans="1:20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77" t="s">
        <v>19</v>
      </c>
      <c r="S1" s="77"/>
      <c r="T1" s="77"/>
    </row>
    <row r="2" spans="1:20">
      <c r="A2" s="127" t="s">
        <v>20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77"/>
      <c r="S2" s="77"/>
      <c r="T2" s="77"/>
    </row>
    <row r="3" spans="1:20">
      <c r="A3" s="128">
        <v>40543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77"/>
      <c r="S3" s="77"/>
      <c r="T3" s="77"/>
    </row>
    <row r="4" spans="1:20">
      <c r="A4" s="77"/>
      <c r="B4" s="77"/>
      <c r="C4" s="77"/>
      <c r="D4" s="77"/>
      <c r="E4" s="77"/>
      <c r="F4" s="77"/>
      <c r="G4" s="77"/>
      <c r="H4" s="77"/>
      <c r="I4" s="77"/>
      <c r="J4" s="77"/>
      <c r="L4" s="77"/>
      <c r="M4" s="77"/>
      <c r="O4" s="77"/>
      <c r="P4" s="77"/>
      <c r="Q4" s="77"/>
      <c r="R4" s="77"/>
      <c r="S4" s="77"/>
      <c r="T4" s="77"/>
    </row>
    <row r="5" spans="1:20">
      <c r="A5" s="127" t="s">
        <v>21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77"/>
      <c r="S5" s="77"/>
      <c r="T5" s="77"/>
    </row>
    <row r="6" spans="1:20">
      <c r="A6" s="80"/>
      <c r="S6" s="81" t="s">
        <v>22</v>
      </c>
      <c r="T6" s="77"/>
    </row>
    <row r="7" spans="1:20">
      <c r="E7" s="82" t="s">
        <v>23</v>
      </c>
      <c r="F7" s="82"/>
      <c r="H7" s="77"/>
      <c r="I7" s="77"/>
      <c r="J7" s="77"/>
      <c r="K7" s="81" t="s">
        <v>24</v>
      </c>
      <c r="L7" s="77"/>
      <c r="O7" s="77" t="s">
        <v>25</v>
      </c>
      <c r="S7" s="81" t="s">
        <v>26</v>
      </c>
      <c r="T7" s="77"/>
    </row>
    <row r="8" spans="1:20">
      <c r="B8" s="81" t="s">
        <v>27</v>
      </c>
      <c r="C8" s="81"/>
      <c r="D8" s="81" t="s">
        <v>28</v>
      </c>
      <c r="E8" s="81" t="s">
        <v>29</v>
      </c>
      <c r="F8" s="81" t="s">
        <v>29</v>
      </c>
      <c r="H8" s="82" t="s">
        <v>30</v>
      </c>
      <c r="I8" s="82"/>
      <c r="J8" s="82"/>
      <c r="K8" s="81" t="s">
        <v>31</v>
      </c>
      <c r="L8" s="77"/>
      <c r="M8" s="81" t="s">
        <v>32</v>
      </c>
      <c r="O8" s="77" t="s">
        <v>31</v>
      </c>
      <c r="Q8" s="77" t="s">
        <v>33</v>
      </c>
      <c r="S8" s="81" t="s">
        <v>31</v>
      </c>
      <c r="T8" s="77"/>
    </row>
    <row r="9" spans="1:20">
      <c r="A9" s="83" t="s">
        <v>34</v>
      </c>
      <c r="B9" s="84" t="s">
        <v>35</v>
      </c>
      <c r="C9" s="84"/>
      <c r="D9" s="84" t="s">
        <v>10</v>
      </c>
      <c r="E9" s="83" t="s">
        <v>36</v>
      </c>
      <c r="F9" s="84" t="s">
        <v>37</v>
      </c>
      <c r="G9" s="83"/>
      <c r="H9" s="84" t="s">
        <v>38</v>
      </c>
      <c r="I9" s="84"/>
      <c r="J9" s="84" t="s">
        <v>39</v>
      </c>
      <c r="K9" s="84" t="s">
        <v>40</v>
      </c>
      <c r="L9" s="84"/>
      <c r="M9" s="84" t="s">
        <v>41</v>
      </c>
      <c r="N9" s="85"/>
      <c r="O9" s="82" t="s">
        <v>40</v>
      </c>
      <c r="P9" s="83"/>
      <c r="Q9" s="82" t="s">
        <v>42</v>
      </c>
      <c r="R9" s="83"/>
      <c r="S9" s="84" t="s">
        <v>43</v>
      </c>
      <c r="T9" s="82"/>
    </row>
    <row r="10" spans="1:20">
      <c r="A10" s="78" t="s">
        <v>44</v>
      </c>
    </row>
    <row r="11" spans="1:20">
      <c r="A11" s="78" t="s">
        <v>45</v>
      </c>
      <c r="B11" s="86">
        <v>36952</v>
      </c>
      <c r="C11" s="86"/>
      <c r="D11" s="8">
        <v>120000000</v>
      </c>
      <c r="E11" s="87">
        <v>99.375</v>
      </c>
      <c r="F11" s="87">
        <v>100</v>
      </c>
      <c r="H11" s="2">
        <f t="shared" ref="H11:H15" si="0">(F11-E11)*D11/100</f>
        <v>750000</v>
      </c>
      <c r="I11" s="2"/>
      <c r="J11" s="88">
        <f t="shared" ref="J11:J22" si="1">+F11-E11</f>
        <v>0.625</v>
      </c>
      <c r="K11" s="2">
        <f t="shared" ref="K11:K14" si="2">D11*(E11/100)</f>
        <v>119250000</v>
      </c>
      <c r="L11" s="2"/>
      <c r="M11" s="8">
        <v>121268</v>
      </c>
      <c r="N11" s="89"/>
      <c r="O11" s="2">
        <f t="shared" ref="O11:O14" si="3">SUM(K11-M11)</f>
        <v>119128732</v>
      </c>
      <c r="Q11" s="2">
        <f>0.066*D11</f>
        <v>7920000</v>
      </c>
      <c r="S11" s="88">
        <f t="shared" ref="S11:S20" si="4">Q11/O11*100</f>
        <v>6.648270209070974</v>
      </c>
    </row>
    <row r="12" spans="1:20">
      <c r="A12" s="78" t="s">
        <v>46</v>
      </c>
      <c r="B12" s="86">
        <v>37575</v>
      </c>
      <c r="C12" s="86"/>
      <c r="D12" s="8">
        <v>100000000</v>
      </c>
      <c r="E12" s="87">
        <v>98.322999999999993</v>
      </c>
      <c r="F12" s="87">
        <v>98.947999999999993</v>
      </c>
      <c r="H12" s="2">
        <f t="shared" si="0"/>
        <v>625000</v>
      </c>
      <c r="I12" s="2"/>
      <c r="J12" s="88">
        <f t="shared" si="1"/>
        <v>0.625</v>
      </c>
      <c r="K12" s="2">
        <f t="shared" si="2"/>
        <v>98323000</v>
      </c>
      <c r="L12" s="2"/>
      <c r="M12" s="8">
        <v>441216</v>
      </c>
      <c r="N12" s="89">
        <v>-15</v>
      </c>
      <c r="O12" s="2">
        <f t="shared" si="3"/>
        <v>97881784</v>
      </c>
      <c r="Q12" s="2">
        <f>0.0475*D12</f>
        <v>4750000</v>
      </c>
      <c r="S12" s="88">
        <f t="shared" si="4"/>
        <v>4.8527926299340844</v>
      </c>
    </row>
    <row r="13" spans="1:20">
      <c r="A13" s="78" t="s">
        <v>47</v>
      </c>
      <c r="B13" s="86">
        <v>37575</v>
      </c>
      <c r="C13" s="86"/>
      <c r="D13" s="8">
        <v>100000000</v>
      </c>
      <c r="E13" s="87">
        <v>98.706000000000003</v>
      </c>
      <c r="F13" s="87">
        <v>99.456000000000003</v>
      </c>
      <c r="H13" s="2">
        <f t="shared" si="0"/>
        <v>750000</v>
      </c>
      <c r="I13" s="2"/>
      <c r="J13" s="88">
        <f t="shared" si="1"/>
        <v>0.75</v>
      </c>
      <c r="K13" s="2">
        <f t="shared" si="2"/>
        <v>98706000</v>
      </c>
      <c r="L13" s="2"/>
      <c r="M13" s="2">
        <v>441216</v>
      </c>
      <c r="N13" s="89">
        <v>-15</v>
      </c>
      <c r="O13" s="2">
        <f t="shared" si="3"/>
        <v>98264784</v>
      </c>
      <c r="Q13" s="2">
        <f>0.06*D13</f>
        <v>6000000</v>
      </c>
      <c r="S13" s="88">
        <f t="shared" si="4"/>
        <v>6.1059514464510505</v>
      </c>
    </row>
    <row r="14" spans="1:20">
      <c r="A14" s="78" t="s">
        <v>48</v>
      </c>
      <c r="B14" s="86">
        <v>37754</v>
      </c>
      <c r="C14" s="86"/>
      <c r="D14" s="8">
        <v>70000000</v>
      </c>
      <c r="E14" s="87">
        <v>98.84</v>
      </c>
      <c r="F14" s="87">
        <v>99.465000000000003</v>
      </c>
      <c r="H14" s="2">
        <f t="shared" si="0"/>
        <v>437500</v>
      </c>
      <c r="I14" s="2"/>
      <c r="J14" s="88">
        <f t="shared" si="1"/>
        <v>0.625</v>
      </c>
      <c r="K14" s="2">
        <f t="shared" si="2"/>
        <v>69188000</v>
      </c>
      <c r="L14" s="2"/>
      <c r="M14" s="8">
        <v>203701.28</v>
      </c>
      <c r="N14" s="89">
        <v>-12</v>
      </c>
      <c r="O14" s="2">
        <f t="shared" si="3"/>
        <v>68984298.719999999</v>
      </c>
      <c r="Q14" s="2">
        <f>0.0425*D14</f>
        <v>2975000</v>
      </c>
      <c r="S14" s="88">
        <f t="shared" si="4"/>
        <v>4.3125755500903358</v>
      </c>
    </row>
    <row r="15" spans="1:20">
      <c r="A15" s="78" t="s">
        <v>49</v>
      </c>
      <c r="B15" s="86">
        <v>37754</v>
      </c>
      <c r="C15" s="86"/>
      <c r="D15" s="8">
        <v>70000000</v>
      </c>
      <c r="E15" s="87">
        <v>99.197999999999993</v>
      </c>
      <c r="F15" s="87">
        <v>99.947999999999993</v>
      </c>
      <c r="H15" s="2">
        <f t="shared" si="0"/>
        <v>525000</v>
      </c>
      <c r="I15" s="2"/>
      <c r="J15" s="88">
        <f t="shared" si="1"/>
        <v>0.75</v>
      </c>
      <c r="K15" s="2">
        <f>D15*(E15/100)</f>
        <v>69438600</v>
      </c>
      <c r="L15" s="2"/>
      <c r="M15" s="8">
        <v>3810246.89</v>
      </c>
      <c r="N15" s="89">
        <v>-9</v>
      </c>
      <c r="O15" s="2">
        <f>SUM(K15-M15)</f>
        <v>65628353.109999999</v>
      </c>
      <c r="Q15" s="2">
        <f>0.055*D15</f>
        <v>3850000</v>
      </c>
      <c r="S15" s="88">
        <f t="shared" si="4"/>
        <v>5.8663669245927839</v>
      </c>
    </row>
    <row r="16" spans="1:20">
      <c r="A16" s="78" t="s">
        <v>50</v>
      </c>
      <c r="B16" s="86">
        <v>38072</v>
      </c>
      <c r="C16" s="86"/>
      <c r="D16" s="7">
        <v>50000000</v>
      </c>
      <c r="E16" s="87">
        <v>98.483000000000004</v>
      </c>
      <c r="F16" s="87">
        <v>99.233000000000004</v>
      </c>
      <c r="H16" s="1">
        <f>(F16-E16)*D16/100</f>
        <v>375000</v>
      </c>
      <c r="I16" s="1"/>
      <c r="J16" s="88">
        <f t="shared" si="1"/>
        <v>0.75</v>
      </c>
      <c r="K16" s="1">
        <f t="shared" ref="K16:K23" si="5">D16*(E16/100)</f>
        <v>49241500.000000007</v>
      </c>
      <c r="L16" s="1"/>
      <c r="M16" s="7">
        <v>149419.32</v>
      </c>
      <c r="N16" s="89">
        <v>-11</v>
      </c>
      <c r="O16" s="1">
        <f t="shared" ref="O16:O20" si="6">SUM(K16-M16)</f>
        <v>49092080.680000007</v>
      </c>
      <c r="Q16" s="2">
        <f>0.055*D16</f>
        <v>2750000</v>
      </c>
      <c r="S16" s="88">
        <f t="shared" si="4"/>
        <v>5.6017181629059438</v>
      </c>
    </row>
    <row r="17" spans="1:21">
      <c r="A17" s="78" t="s">
        <v>51</v>
      </c>
      <c r="B17" s="86">
        <v>38215</v>
      </c>
      <c r="C17" s="86"/>
      <c r="D17" s="7">
        <v>55000000</v>
      </c>
      <c r="E17" s="87">
        <v>97.89</v>
      </c>
      <c r="F17" s="87">
        <v>98.64</v>
      </c>
      <c r="H17" s="7">
        <f>(F17-E17)*D17/100</f>
        <v>412500</v>
      </c>
      <c r="I17" s="7"/>
      <c r="J17" s="88">
        <f t="shared" si="1"/>
        <v>0.75</v>
      </c>
      <c r="K17" s="7">
        <f t="shared" si="5"/>
        <v>53839500</v>
      </c>
      <c r="L17" s="7"/>
      <c r="M17" s="7">
        <v>173259.47999999998</v>
      </c>
      <c r="N17" s="89">
        <v>-17</v>
      </c>
      <c r="O17" s="7">
        <f t="shared" si="6"/>
        <v>53666240.520000003</v>
      </c>
      <c r="Q17" s="8">
        <f>0.05875*D17</f>
        <v>3231250</v>
      </c>
      <c r="S17" s="88">
        <f t="shared" si="4"/>
        <v>6.0210105434827277</v>
      </c>
    </row>
    <row r="18" spans="1:21">
      <c r="A18" s="78" t="s">
        <v>52</v>
      </c>
      <c r="B18" s="86">
        <v>38590</v>
      </c>
      <c r="C18" s="86"/>
      <c r="D18" s="7">
        <v>60000000</v>
      </c>
      <c r="E18" s="87">
        <v>98.569000000000003</v>
      </c>
      <c r="F18" s="87">
        <v>99.319000000000003</v>
      </c>
      <c r="H18" s="7">
        <f>(F18-E18)*D18/100</f>
        <v>450000</v>
      </c>
      <c r="I18" s="7"/>
      <c r="J18" s="88">
        <f t="shared" si="1"/>
        <v>0.75</v>
      </c>
      <c r="K18" s="7">
        <f t="shared" si="5"/>
        <v>59141400.000000007</v>
      </c>
      <c r="L18" s="7"/>
      <c r="M18" s="7">
        <v>3399738.76</v>
      </c>
      <c r="N18" s="89">
        <v>-20</v>
      </c>
      <c r="O18" s="7">
        <f t="shared" si="6"/>
        <v>55741661.24000001</v>
      </c>
      <c r="Q18" s="8">
        <f>0.053*D18</f>
        <v>3180000</v>
      </c>
      <c r="S18" s="88">
        <f t="shared" si="4"/>
        <v>5.7048891785055806</v>
      </c>
    </row>
    <row r="19" spans="1:21">
      <c r="A19" s="78" t="s">
        <v>53</v>
      </c>
      <c r="B19" s="86">
        <v>39255</v>
      </c>
      <c r="C19" s="86"/>
      <c r="D19" s="7">
        <v>140000000</v>
      </c>
      <c r="E19" s="87">
        <v>99.051000000000002</v>
      </c>
      <c r="F19" s="87">
        <v>99.801000000000002</v>
      </c>
      <c r="H19" s="7">
        <f>(F19-E19)*D19/100</f>
        <v>1050000</v>
      </c>
      <c r="I19" s="7"/>
      <c r="J19" s="88">
        <f t="shared" si="1"/>
        <v>0.75</v>
      </c>
      <c r="K19" s="7">
        <f t="shared" si="5"/>
        <v>138671400</v>
      </c>
      <c r="L19" s="7"/>
      <c r="M19" s="7">
        <v>450030.67999999993</v>
      </c>
      <c r="N19" s="89">
        <v>-22</v>
      </c>
      <c r="O19" s="7">
        <f t="shared" si="6"/>
        <v>138221369.31999999</v>
      </c>
      <c r="Q19" s="8">
        <f>0.063*D19</f>
        <v>8820000</v>
      </c>
      <c r="S19" s="88">
        <f t="shared" si="4"/>
        <v>6.3810683133811104</v>
      </c>
    </row>
    <row r="20" spans="1:21">
      <c r="A20" s="78" t="s">
        <v>54</v>
      </c>
      <c r="B20" s="86">
        <v>39373</v>
      </c>
      <c r="C20" s="86"/>
      <c r="D20" s="7">
        <v>100000000</v>
      </c>
      <c r="E20" s="87">
        <v>98.981999999999999</v>
      </c>
      <c r="F20" s="87">
        <v>99.731999999999999</v>
      </c>
      <c r="H20" s="7">
        <f>(F20-E20)*D20/100</f>
        <v>750000</v>
      </c>
      <c r="I20" s="7"/>
      <c r="J20" s="88">
        <f t="shared" si="1"/>
        <v>0.75</v>
      </c>
      <c r="K20" s="7">
        <f t="shared" si="5"/>
        <v>98982000</v>
      </c>
      <c r="L20" s="7"/>
      <c r="M20" s="7">
        <v>477489.76999999996</v>
      </c>
      <c r="N20" s="89">
        <v>-23</v>
      </c>
      <c r="O20" s="7">
        <f t="shared" si="6"/>
        <v>98504510.230000004</v>
      </c>
      <c r="Q20" s="8">
        <f>0.0625*D20</f>
        <v>6250000</v>
      </c>
      <c r="S20" s="88">
        <f t="shared" si="4"/>
        <v>6.3448871380678504</v>
      </c>
    </row>
    <row r="21" spans="1:21">
      <c r="A21" s="78" t="s">
        <v>55</v>
      </c>
      <c r="B21" s="86">
        <v>39639</v>
      </c>
      <c r="C21" s="86"/>
      <c r="D21" s="7">
        <v>120000000</v>
      </c>
      <c r="E21" s="87">
        <v>99.375</v>
      </c>
      <c r="F21" s="87">
        <v>100</v>
      </c>
      <c r="H21" s="7">
        <v>750000</v>
      </c>
      <c r="I21" s="7"/>
      <c r="J21" s="88">
        <f t="shared" si="1"/>
        <v>0.625</v>
      </c>
      <c r="K21" s="7">
        <f t="shared" si="5"/>
        <v>119250000</v>
      </c>
      <c r="L21" s="7"/>
      <c r="M21" s="7">
        <v>914617.37</v>
      </c>
      <c r="N21" s="89">
        <v>-24</v>
      </c>
      <c r="O21" s="7">
        <f>SUM(K21-M21)</f>
        <v>118335382.63</v>
      </c>
      <c r="Q21" s="8">
        <f>0.06025*D21</f>
        <v>7230000</v>
      </c>
      <c r="S21" s="88">
        <f>Q21/O21*100</f>
        <v>6.1097533462211278</v>
      </c>
    </row>
    <row r="22" spans="1:21">
      <c r="A22" s="78" t="s">
        <v>56</v>
      </c>
      <c r="B22" s="86">
        <v>39902</v>
      </c>
      <c r="C22" s="86"/>
      <c r="D22" s="7">
        <v>100000000</v>
      </c>
      <c r="E22" s="87">
        <v>99.19</v>
      </c>
      <c r="F22" s="87">
        <v>99.814999999999998</v>
      </c>
      <c r="H22" s="7">
        <v>625000</v>
      </c>
      <c r="I22" s="7"/>
      <c r="J22" s="88">
        <f t="shared" si="1"/>
        <v>0.625</v>
      </c>
      <c r="K22" s="7">
        <f t="shared" si="5"/>
        <v>99190000</v>
      </c>
      <c r="L22" s="7"/>
      <c r="M22" s="7">
        <v>409909.23</v>
      </c>
      <c r="N22" s="89">
        <v>-25</v>
      </c>
      <c r="O22" s="7">
        <f>SUM(K22-M22)</f>
        <v>98780090.769999996</v>
      </c>
      <c r="Q22" s="8">
        <f>0.0615*D22</f>
        <v>6150000</v>
      </c>
      <c r="S22" s="88">
        <f>Q22/O22*100</f>
        <v>6.2259509502979578</v>
      </c>
    </row>
    <row r="23" spans="1:21">
      <c r="A23" s="78" t="s">
        <v>57</v>
      </c>
      <c r="B23" s="86">
        <v>40137</v>
      </c>
      <c r="C23" s="86"/>
      <c r="D23" s="7">
        <v>130000000</v>
      </c>
      <c r="E23" s="87">
        <v>99.194000000000003</v>
      </c>
      <c r="F23" s="87">
        <v>99.819000000000003</v>
      </c>
      <c r="H23" s="7">
        <f>J23*D23/100</f>
        <v>812500</v>
      </c>
      <c r="I23" s="7"/>
      <c r="J23" s="88">
        <f>+F23-E23</f>
        <v>0.625</v>
      </c>
      <c r="K23" s="7">
        <f t="shared" si="5"/>
        <v>128952200</v>
      </c>
      <c r="L23" s="7"/>
      <c r="M23" s="7">
        <v>386883.33999999997</v>
      </c>
      <c r="N23" s="89">
        <v>-26</v>
      </c>
      <c r="O23" s="7">
        <f>SUM(K23-M23)</f>
        <v>128565316.66</v>
      </c>
      <c r="Q23" s="8">
        <f>0.045*D23</f>
        <v>5850000</v>
      </c>
      <c r="S23" s="88">
        <f>Q23/O23*100</f>
        <v>4.5502163040369092</v>
      </c>
    </row>
    <row r="24" spans="1:21">
      <c r="A24" s="78" t="s">
        <v>58</v>
      </c>
      <c r="B24" s="86">
        <v>40420</v>
      </c>
      <c r="C24" s="86"/>
      <c r="D24" s="7">
        <v>100000000</v>
      </c>
      <c r="E24" s="87">
        <v>98.876000000000005</v>
      </c>
      <c r="F24" s="87">
        <v>99.501000000000005</v>
      </c>
      <c r="H24" s="7">
        <v>625000</v>
      </c>
      <c r="I24" s="7"/>
      <c r="J24" s="88">
        <f>+F24-E24</f>
        <v>0.625</v>
      </c>
      <c r="K24" s="7">
        <f>D24*(E24/100)</f>
        <v>98876000.000000015</v>
      </c>
      <c r="L24" s="7"/>
      <c r="M24" s="7">
        <v>504446.84</v>
      </c>
      <c r="N24" s="89">
        <v>-27</v>
      </c>
      <c r="O24" s="7">
        <f>SUM(K24-M24)</f>
        <v>98371553.160000011</v>
      </c>
      <c r="Q24" s="8">
        <f>0.034*D24</f>
        <v>3400000.0000000005</v>
      </c>
      <c r="S24" s="88">
        <f>Q24/O24*100</f>
        <v>3.4562837434008444</v>
      </c>
    </row>
    <row r="25" spans="1:21">
      <c r="A25" s="78" t="s">
        <v>59</v>
      </c>
      <c r="B25" s="86">
        <v>40420</v>
      </c>
      <c r="C25" s="86"/>
      <c r="D25" s="7">
        <v>100000000</v>
      </c>
      <c r="E25" s="87">
        <v>99.08</v>
      </c>
      <c r="F25" s="87">
        <v>99.83</v>
      </c>
      <c r="H25" s="7">
        <v>750000</v>
      </c>
      <c r="I25" s="7"/>
      <c r="J25" s="88">
        <f>+F25-E25</f>
        <v>0.75</v>
      </c>
      <c r="K25" s="7">
        <f>D25*(E25/100)</f>
        <v>99080000</v>
      </c>
      <c r="L25" s="7"/>
      <c r="M25" s="7">
        <v>504446.85</v>
      </c>
      <c r="N25" s="89">
        <v>-28</v>
      </c>
      <c r="O25" s="7">
        <f>SUM(K25-M25)</f>
        <v>98575553.150000006</v>
      </c>
      <c r="Q25" s="8">
        <f>0.0485*D25</f>
        <v>4850000</v>
      </c>
      <c r="S25" s="88">
        <f>Q25/O25*100</f>
        <v>4.9200839812888235</v>
      </c>
    </row>
    <row r="26" spans="1:21">
      <c r="B26" s="86"/>
      <c r="C26" s="86"/>
      <c r="D26" s="9"/>
      <c r="E26" s="87"/>
      <c r="F26" s="87"/>
      <c r="H26" s="1"/>
      <c r="I26" s="1"/>
      <c r="J26" s="88"/>
      <c r="K26" s="3"/>
      <c r="L26" s="2"/>
      <c r="M26" s="3"/>
      <c r="N26" s="89"/>
      <c r="O26" s="3"/>
      <c r="Q26" s="9"/>
      <c r="S26" s="90"/>
      <c r="T26" s="83"/>
    </row>
    <row r="27" spans="1:21">
      <c r="A27" s="91" t="s">
        <v>60</v>
      </c>
      <c r="D27" s="92">
        <f>SUM(D11:D26)</f>
        <v>1415000000</v>
      </c>
      <c r="H27" s="92">
        <f>SUM(H11:H26)</f>
        <v>9687500</v>
      </c>
      <c r="K27" s="92">
        <f>SUM(K11:K26)</f>
        <v>1400129600</v>
      </c>
      <c r="L27" s="93"/>
      <c r="M27" s="92">
        <f>SUM(M11:M26)</f>
        <v>12387889.809999999</v>
      </c>
      <c r="O27" s="92">
        <f>SUM(O11:O26)</f>
        <v>1387741710.1900003</v>
      </c>
      <c r="Q27" s="92">
        <f>SUM(Q11:Q26)</f>
        <v>77206250</v>
      </c>
      <c r="S27" s="90">
        <f>Q27/O27*100</f>
        <v>5.5634452314205811</v>
      </c>
      <c r="T27" s="83" t="s">
        <v>61</v>
      </c>
      <c r="U27" s="94"/>
    </row>
    <row r="29" spans="1:21">
      <c r="A29" s="78" t="s">
        <v>62</v>
      </c>
    </row>
    <row r="30" spans="1:21">
      <c r="A30" s="78" t="s">
        <v>63</v>
      </c>
      <c r="B30" s="95"/>
      <c r="C30" s="95"/>
      <c r="D30" s="7"/>
      <c r="E30" s="87"/>
      <c r="F30" s="87"/>
      <c r="H30" s="1"/>
      <c r="I30" s="1"/>
      <c r="J30" s="88" t="s">
        <v>64</v>
      </c>
      <c r="K30" s="1"/>
      <c r="L30" s="1"/>
      <c r="M30" s="1"/>
    </row>
    <row r="31" spans="1:21">
      <c r="A31" s="96" t="s">
        <v>65</v>
      </c>
      <c r="B31" s="86">
        <v>36663</v>
      </c>
      <c r="C31" s="86"/>
      <c r="D31" s="7">
        <v>4360000</v>
      </c>
      <c r="E31" s="87" t="s">
        <v>66</v>
      </c>
      <c r="F31" s="87">
        <v>100</v>
      </c>
      <c r="G31" s="97">
        <v>-2</v>
      </c>
      <c r="H31" s="1">
        <v>50000</v>
      </c>
      <c r="I31" s="1"/>
      <c r="J31" s="98" t="s">
        <v>67</v>
      </c>
      <c r="K31" s="1">
        <f>D31-H31</f>
        <v>4310000</v>
      </c>
      <c r="L31" s="1"/>
      <c r="M31" s="1">
        <v>120343.12999999999</v>
      </c>
      <c r="N31" s="89">
        <f>-13</f>
        <v>-13</v>
      </c>
      <c r="O31" s="1">
        <f>SUM(K31-M31)</f>
        <v>4189656.87</v>
      </c>
      <c r="Q31" s="56">
        <f>B52*D31</f>
        <v>65400</v>
      </c>
      <c r="S31" s="88">
        <f>Q31/O31*100</f>
        <v>1.5609870218321722</v>
      </c>
      <c r="T31" s="78" t="s">
        <v>61</v>
      </c>
    </row>
    <row r="32" spans="1:21">
      <c r="A32" s="78" t="s">
        <v>68</v>
      </c>
      <c r="B32" s="95"/>
      <c r="C32" s="95"/>
      <c r="D32" s="7"/>
      <c r="E32" s="87"/>
      <c r="F32" s="87"/>
      <c r="H32" s="7"/>
      <c r="I32" s="7"/>
      <c r="J32" s="88"/>
      <c r="K32" s="7"/>
      <c r="L32" s="7"/>
      <c r="M32" s="7"/>
    </row>
    <row r="33" spans="1:20">
      <c r="A33" s="78" t="s">
        <v>69</v>
      </c>
      <c r="B33" s="86">
        <v>37916</v>
      </c>
      <c r="C33" s="86"/>
      <c r="D33" s="7">
        <v>49800000</v>
      </c>
      <c r="E33" s="87">
        <v>100</v>
      </c>
      <c r="F33" s="87">
        <v>100</v>
      </c>
      <c r="H33" s="7">
        <v>398400</v>
      </c>
      <c r="I33" s="7"/>
      <c r="J33" s="98">
        <v>0.8</v>
      </c>
      <c r="K33" s="7">
        <f>D33-H33</f>
        <v>49401600</v>
      </c>
      <c r="L33" s="7"/>
      <c r="M33" s="7">
        <v>3956649.0389999999</v>
      </c>
      <c r="N33" s="89">
        <v>-10</v>
      </c>
      <c r="O33" s="7">
        <f>SUM(K33-M33)</f>
        <v>45444950.961000003</v>
      </c>
      <c r="Q33" s="8">
        <f>D33*5.15/100</f>
        <v>2564700.0000000005</v>
      </c>
      <c r="S33" s="88">
        <f>Q33/O33*100</f>
        <v>5.6435312301271434</v>
      </c>
    </row>
    <row r="34" spans="1:20">
      <c r="A34" s="78" t="s">
        <v>70</v>
      </c>
    </row>
    <row r="35" spans="1:20">
      <c r="A35" s="99" t="s">
        <v>71</v>
      </c>
      <c r="B35" s="86">
        <v>38993</v>
      </c>
      <c r="C35" s="86"/>
      <c r="D35" s="10">
        <v>116300000</v>
      </c>
      <c r="E35" s="19">
        <v>100</v>
      </c>
      <c r="F35" s="19">
        <v>100</v>
      </c>
      <c r="H35" s="8">
        <v>930400</v>
      </c>
      <c r="I35" s="10"/>
      <c r="J35" s="98">
        <v>0.8</v>
      </c>
      <c r="K35" s="10">
        <f>+D35-H35</f>
        <v>115369600</v>
      </c>
      <c r="L35" s="7"/>
      <c r="M35" s="20">
        <v>7703911.5109999999</v>
      </c>
      <c r="N35" s="89">
        <v>-21</v>
      </c>
      <c r="O35" s="10">
        <f>SUM(K35-M35)</f>
        <v>107665688.48899999</v>
      </c>
      <c r="Q35" s="11">
        <f>D35*5.25/100</f>
        <v>6105750</v>
      </c>
      <c r="S35" s="88">
        <f>Q35/O35*100</f>
        <v>5.6710267548456841</v>
      </c>
    </row>
    <row r="36" spans="1:20">
      <c r="A36" s="91" t="s">
        <v>72</v>
      </c>
      <c r="B36" s="95"/>
      <c r="C36" s="95"/>
      <c r="D36" s="12">
        <f>SUM(D31:D35)</f>
        <v>170460000</v>
      </c>
      <c r="K36" s="15">
        <f>SUM(K31:K35)</f>
        <v>169081200</v>
      </c>
      <c r="L36" s="4"/>
      <c r="M36" s="15">
        <f>SUM(M31:M35)</f>
        <v>11780903.68</v>
      </c>
      <c r="O36" s="15">
        <f>SUM(O31:O35)</f>
        <v>157300296.31999999</v>
      </c>
      <c r="Q36" s="12">
        <f>SUM(Q31:Q35)</f>
        <v>8735850</v>
      </c>
      <c r="S36" s="100">
        <f>Q36/O36*100</f>
        <v>5.5536131872431049</v>
      </c>
      <c r="T36" s="101" t="s">
        <v>61</v>
      </c>
    </row>
    <row r="37" spans="1:20">
      <c r="A37" s="91" t="s">
        <v>73</v>
      </c>
      <c r="B37" s="95"/>
      <c r="C37" s="95"/>
      <c r="D37" s="14">
        <f>D36+D27</f>
        <v>1585460000</v>
      </c>
      <c r="K37" s="4"/>
      <c r="L37" s="4"/>
      <c r="M37" s="4"/>
      <c r="O37" s="4"/>
      <c r="Q37" s="11"/>
      <c r="S37" s="88"/>
    </row>
    <row r="38" spans="1:20">
      <c r="A38" s="91"/>
      <c r="B38" s="95"/>
      <c r="C38" s="95"/>
      <c r="D38" s="11"/>
      <c r="H38" s="21"/>
      <c r="K38" s="4"/>
      <c r="L38" s="4"/>
      <c r="M38" s="4"/>
      <c r="O38" s="4"/>
      <c r="Q38" s="11"/>
      <c r="S38" s="88"/>
    </row>
    <row r="39" spans="1:20">
      <c r="B39" s="95"/>
      <c r="C39" s="95"/>
      <c r="D39" s="16"/>
      <c r="K39" s="17"/>
      <c r="L39" s="2"/>
      <c r="M39" s="83"/>
      <c r="O39" s="18"/>
      <c r="Q39" s="16"/>
      <c r="S39" s="102"/>
      <c r="T39" s="83"/>
    </row>
    <row r="40" spans="1:20" ht="12.75" thickBot="1">
      <c r="A40" s="91" t="s">
        <v>74</v>
      </c>
      <c r="D40" s="13">
        <f>D37+D39</f>
        <v>1585460000</v>
      </c>
      <c r="K40" s="5">
        <f>SUM(K27,K36:K39)</f>
        <v>1569210800</v>
      </c>
      <c r="L40" s="4"/>
      <c r="M40" s="5">
        <f>SUM(M27,M36:M39)</f>
        <v>24168793.489999998</v>
      </c>
      <c r="O40" s="5">
        <f>SUM(O27,O36:O39)</f>
        <v>1545042006.5100002</v>
      </c>
      <c r="Q40" s="13">
        <f>SUM(Q27,Q36:Q39)</f>
        <v>85942100</v>
      </c>
      <c r="S40" s="103">
        <f>Q40/O40*100</f>
        <v>5.5624442337415338</v>
      </c>
      <c r="T40" s="104" t="s">
        <v>61</v>
      </c>
    </row>
    <row r="41" spans="1:20" ht="12.75" thickTop="1">
      <c r="A41" s="105" t="s">
        <v>75</v>
      </c>
      <c r="B41" s="86">
        <v>36642</v>
      </c>
      <c r="D41" s="7">
        <v>19885000</v>
      </c>
      <c r="E41" s="87" t="s">
        <v>66</v>
      </c>
      <c r="F41" s="87">
        <v>100</v>
      </c>
      <c r="H41" s="1">
        <v>50000</v>
      </c>
      <c r="I41" s="1"/>
      <c r="J41" s="2" t="s">
        <v>67</v>
      </c>
      <c r="K41" s="1">
        <f>D41-H41</f>
        <v>19835000</v>
      </c>
      <c r="L41" s="1"/>
      <c r="M41" s="1">
        <v>1499009.38</v>
      </c>
      <c r="N41" s="89">
        <v>-14</v>
      </c>
      <c r="O41" s="1">
        <f>SUM(K41-M41)</f>
        <v>18335990.620000001</v>
      </c>
      <c r="Q41" s="56">
        <f>B52*D41</f>
        <v>298275</v>
      </c>
      <c r="S41" s="88">
        <f>Q41/O41*100</f>
        <v>1.626718764104603</v>
      </c>
    </row>
    <row r="42" spans="1:20">
      <c r="A42" s="106" t="s">
        <v>76</v>
      </c>
      <c r="D42" s="7">
        <v>7445453</v>
      </c>
      <c r="K42" s="1">
        <v>7445452</v>
      </c>
      <c r="M42" s="1">
        <v>0</v>
      </c>
      <c r="O42" s="1">
        <v>7445452</v>
      </c>
      <c r="Q42" s="7">
        <v>666371</v>
      </c>
      <c r="S42" s="88">
        <v>8.9500409108808974</v>
      </c>
    </row>
    <row r="43" spans="1:20">
      <c r="A43" s="91" t="s">
        <v>77</v>
      </c>
      <c r="D43" s="83"/>
      <c r="K43" s="83"/>
      <c r="M43" s="83"/>
      <c r="O43" s="83"/>
      <c r="Q43" s="83"/>
      <c r="S43" s="83"/>
      <c r="T43" s="83"/>
    </row>
    <row r="44" spans="1:20" ht="12.75" thickBot="1">
      <c r="A44" s="91" t="s">
        <v>78</v>
      </c>
      <c r="D44" s="107">
        <f>SUM(D40:D43)</f>
        <v>1612790453</v>
      </c>
      <c r="K44" s="107">
        <f>SUM(K40:K43)</f>
        <v>1596491252</v>
      </c>
      <c r="M44" s="107">
        <f>SUM(M40:M43)</f>
        <v>25667802.869999997</v>
      </c>
      <c r="O44" s="107">
        <f>SUM(O40:O43)</f>
        <v>1570823449.1300001</v>
      </c>
      <c r="Q44" s="107">
        <f>SUM(Q40:Q43)</f>
        <v>86906746</v>
      </c>
      <c r="S44" s="103">
        <f>Q44/O44*100</f>
        <v>5.5325597569945408</v>
      </c>
      <c r="T44" s="104" t="s">
        <v>61</v>
      </c>
    </row>
    <row r="45" spans="1:20" ht="12.75" thickTop="1">
      <c r="A45" s="91"/>
      <c r="D45" s="93"/>
      <c r="K45" s="93"/>
      <c r="M45" s="93"/>
      <c r="O45" s="93"/>
      <c r="Q45" s="93"/>
      <c r="S45" s="88"/>
    </row>
    <row r="46" spans="1:20">
      <c r="A46" s="91" t="s">
        <v>79</v>
      </c>
      <c r="D46" s="108">
        <f>D41+D42</f>
        <v>27330453</v>
      </c>
    </row>
    <row r="48" spans="1:20">
      <c r="A48" s="91"/>
      <c r="D48" s="108"/>
    </row>
    <row r="49" spans="1:4">
      <c r="D49" s="93"/>
    </row>
    <row r="50" spans="1:4">
      <c r="A50" s="78" t="s">
        <v>80</v>
      </c>
    </row>
    <row r="51" spans="1:4">
      <c r="A51" s="78" t="s">
        <v>81</v>
      </c>
      <c r="B51" s="109">
        <v>1.4999999999999999E-2</v>
      </c>
    </row>
    <row r="52" spans="1:4">
      <c r="A52" s="78" t="s">
        <v>82</v>
      </c>
      <c r="B52" s="109">
        <v>1.4999999999999999E-2</v>
      </c>
    </row>
    <row r="53" spans="1:4">
      <c r="B53" s="109"/>
    </row>
    <row r="54" spans="1:4">
      <c r="B54" s="109"/>
    </row>
    <row r="55" spans="1:4">
      <c r="A55" s="110" t="s">
        <v>83</v>
      </c>
    </row>
    <row r="56" spans="1:4">
      <c r="A56" s="78" t="s">
        <v>84</v>
      </c>
      <c r="B56" s="6"/>
    </row>
    <row r="57" spans="1:4">
      <c r="A57" s="78" t="s">
        <v>85</v>
      </c>
    </row>
    <row r="68" spans="2:4">
      <c r="B68" s="6"/>
    </row>
    <row r="71" spans="2:4">
      <c r="D71" s="111"/>
    </row>
    <row r="168" spans="2:2">
      <c r="B168" s="78" t="s">
        <v>86</v>
      </c>
    </row>
    <row r="170" spans="2:2">
      <c r="B170" s="78" t="s">
        <v>87</v>
      </c>
    </row>
    <row r="172" spans="2:2">
      <c r="B172" s="78" t="s">
        <v>88</v>
      </c>
    </row>
  </sheetData>
  <mergeCells count="4">
    <mergeCell ref="A1:Q1"/>
    <mergeCell ref="A2:Q2"/>
    <mergeCell ref="A3:Q3"/>
    <mergeCell ref="A5:Q5"/>
  </mergeCells>
  <pageMargins left="0.5" right="0.5" top="0.75" bottom="0.25" header="1" footer="0.5"/>
  <pageSetup scale="70" orientation="landscape" r:id="rId1"/>
  <headerFooter alignWithMargins="0">
    <oddFooter>&amp;L&amp;Z&amp;F &amp;A&amp;R&amp;D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E7F2-BCAC-4ED3-9206-017705958853}">
  <sheetPr>
    <pageSetUpPr fitToPage="1"/>
  </sheetPr>
  <dimension ref="A1:Y44"/>
  <sheetViews>
    <sheetView tabSelected="1" view="pageBreakPreview" topLeftCell="A2" zoomScaleNormal="100" zoomScaleSheetLayoutView="100" workbookViewId="0">
      <selection activeCell="H13" sqref="H13"/>
    </sheetView>
  </sheetViews>
  <sheetFormatPr defaultColWidth="9.140625" defaultRowHeight="12.75"/>
  <cols>
    <col min="1" max="1" width="3.28515625" style="58" customWidth="1"/>
    <col min="2" max="2" width="2.140625" style="58" bestFit="1" customWidth="1"/>
    <col min="3" max="3" width="37.7109375" style="58" bestFit="1" customWidth="1"/>
    <col min="4" max="4" width="1.85546875" style="58" bestFit="1" customWidth="1"/>
    <col min="5" max="5" width="8.140625" style="58" bestFit="1" customWidth="1"/>
    <col min="6" max="6" width="1.42578125" style="58" customWidth="1"/>
    <col min="7" max="7" width="11.28515625" style="58" bestFit="1" customWidth="1"/>
    <col min="8" max="8" width="1.42578125" style="58" customWidth="1"/>
    <col min="9" max="9" width="11.140625" style="58" bestFit="1" customWidth="1"/>
    <col min="10" max="10" width="1.42578125" style="58" customWidth="1"/>
    <col min="11" max="11" width="10.85546875" style="58" bestFit="1" customWidth="1"/>
    <col min="12" max="12" width="1.42578125" style="58" customWidth="1"/>
    <col min="13" max="13" width="11.140625" style="58" bestFit="1" customWidth="1"/>
    <col min="14" max="14" width="1.42578125" style="58" customWidth="1"/>
    <col min="15" max="15" width="9.42578125" style="58" bestFit="1" customWidth="1"/>
    <col min="16" max="16" width="1.42578125" style="58" customWidth="1"/>
    <col min="17" max="17" width="10.42578125" style="58" bestFit="1" customWidth="1"/>
    <col min="18" max="18" width="1.42578125" style="58" customWidth="1"/>
    <col min="19" max="19" width="11.28515625" style="58" bestFit="1" customWidth="1"/>
    <col min="20" max="20" width="1.42578125" style="58" customWidth="1"/>
    <col min="21" max="21" width="12.28515625" style="58" bestFit="1" customWidth="1"/>
    <col min="22" max="22" width="1.42578125" style="58" customWidth="1"/>
    <col min="23" max="23" width="8.5703125" style="58" bestFit="1" customWidth="1"/>
    <col min="24" max="24" width="1.42578125" style="58" customWidth="1"/>
    <col min="25" max="25" width="10.140625" style="58" bestFit="1" customWidth="1"/>
    <col min="26" max="16384" width="9.140625" style="58"/>
  </cols>
  <sheetData>
    <row r="1" spans="1: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</row>
    <row r="2" spans="1:25">
      <c r="A2" s="131" t="s">
        <v>89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</row>
    <row r="3" spans="1:25">
      <c r="A3" s="131" t="s">
        <v>90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</row>
    <row r="4" spans="1:25">
      <c r="A4" s="131" t="s">
        <v>4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</row>
    <row r="5" spans="1:25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</row>
    <row r="6" spans="1:25">
      <c r="A6" s="59"/>
      <c r="B6" s="59"/>
      <c r="C6" s="59" t="s">
        <v>91</v>
      </c>
      <c r="D6" s="59"/>
      <c r="E6" s="59" t="s">
        <v>92</v>
      </c>
      <c r="F6" s="59"/>
      <c r="G6" s="59" t="s">
        <v>93</v>
      </c>
      <c r="H6" s="59"/>
      <c r="I6" s="59" t="s">
        <v>94</v>
      </c>
      <c r="J6" s="59"/>
      <c r="K6" s="59" t="s">
        <v>95</v>
      </c>
      <c r="L6" s="59"/>
      <c r="M6" s="59" t="s">
        <v>96</v>
      </c>
      <c r="N6" s="59"/>
      <c r="O6" s="59" t="s">
        <v>97</v>
      </c>
      <c r="P6" s="59"/>
      <c r="Q6" s="59" t="s">
        <v>98</v>
      </c>
      <c r="R6" s="59"/>
      <c r="S6" s="59" t="s">
        <v>99</v>
      </c>
      <c r="T6" s="59"/>
      <c r="U6" s="59" t="s">
        <v>100</v>
      </c>
      <c r="V6" s="59"/>
      <c r="W6" s="59" t="s">
        <v>101</v>
      </c>
      <c r="X6" s="59"/>
      <c r="Y6" s="59" t="s">
        <v>102</v>
      </c>
    </row>
    <row r="7" spans="1:25">
      <c r="A7" s="58" t="s">
        <v>5</v>
      </c>
      <c r="E7" s="59" t="s">
        <v>103</v>
      </c>
      <c r="F7" s="59"/>
      <c r="G7" s="59" t="s">
        <v>104</v>
      </c>
      <c r="H7" s="59"/>
      <c r="I7" s="59" t="s">
        <v>105</v>
      </c>
      <c r="J7" s="59"/>
      <c r="K7" s="132" t="s">
        <v>106</v>
      </c>
      <c r="L7" s="132"/>
      <c r="M7" s="132"/>
      <c r="N7" s="59"/>
      <c r="O7" s="59"/>
      <c r="P7" s="59"/>
      <c r="Q7" s="59" t="s">
        <v>107</v>
      </c>
      <c r="R7" s="59"/>
      <c r="S7" s="59" t="s">
        <v>108</v>
      </c>
      <c r="T7" s="59"/>
      <c r="U7" s="59" t="s">
        <v>109</v>
      </c>
      <c r="V7" s="59"/>
      <c r="W7" s="59" t="s">
        <v>110</v>
      </c>
      <c r="X7" s="59"/>
      <c r="Y7" s="59" t="s">
        <v>111</v>
      </c>
    </row>
    <row r="8" spans="1:25">
      <c r="A8" s="60" t="s">
        <v>112</v>
      </c>
      <c r="B8" s="60"/>
      <c r="C8" s="60" t="s">
        <v>113</v>
      </c>
      <c r="D8" s="60"/>
      <c r="E8" s="115" t="s">
        <v>114</v>
      </c>
      <c r="F8" s="115"/>
      <c r="G8" s="115" t="s">
        <v>115</v>
      </c>
      <c r="H8" s="115"/>
      <c r="I8" s="115" t="s">
        <v>115</v>
      </c>
      <c r="J8" s="115"/>
      <c r="K8" s="115" t="s">
        <v>116</v>
      </c>
      <c r="L8" s="115"/>
      <c r="M8" s="115" t="s">
        <v>117</v>
      </c>
      <c r="N8" s="115"/>
      <c r="O8" s="115" t="s">
        <v>118</v>
      </c>
      <c r="P8" s="115"/>
      <c r="Q8" s="115" t="s">
        <v>119</v>
      </c>
      <c r="R8" s="115"/>
      <c r="S8" s="115" t="s">
        <v>120</v>
      </c>
      <c r="T8" s="115"/>
      <c r="U8" s="115" t="s">
        <v>121</v>
      </c>
      <c r="V8" s="115"/>
      <c r="W8" s="115" t="s">
        <v>105</v>
      </c>
      <c r="X8" s="115"/>
      <c r="Y8" s="115" t="s">
        <v>12</v>
      </c>
    </row>
    <row r="9" spans="1:25">
      <c r="C9" s="61" t="s">
        <v>44</v>
      </c>
      <c r="D9" s="61"/>
    </row>
    <row r="10" spans="1:25">
      <c r="A10" s="58">
        <v>1</v>
      </c>
      <c r="C10" s="62" t="s">
        <v>47</v>
      </c>
      <c r="D10" s="62"/>
      <c r="E10" s="116">
        <v>0.06</v>
      </c>
      <c r="F10" s="66"/>
      <c r="G10" s="67">
        <v>37575</v>
      </c>
      <c r="H10" s="67"/>
      <c r="I10" s="67">
        <v>48533</v>
      </c>
      <c r="J10" s="67"/>
      <c r="K10" s="68">
        <v>100000</v>
      </c>
      <c r="L10" s="68"/>
      <c r="M10" s="68">
        <v>100000</v>
      </c>
      <c r="N10" s="68"/>
      <c r="O10" s="69">
        <v>98.706000000000003</v>
      </c>
      <c r="P10" s="69"/>
      <c r="Q10" s="70">
        <f>(100-O10)*M10/100</f>
        <v>1293.999999999997</v>
      </c>
      <c r="R10" s="70"/>
      <c r="S10" s="70">
        <v>441.21600000000001</v>
      </c>
      <c r="T10" s="63"/>
      <c r="U10" s="70">
        <f t="shared" ref="U10:U28" si="0">K10-Q10-S10</f>
        <v>98264.784</v>
      </c>
      <c r="V10" s="71"/>
      <c r="W10" s="112">
        <f>YIELD(G10,I10,E10,(U10/K10)*100,100,2)</f>
        <v>6.127109345623246E-2</v>
      </c>
      <c r="X10" s="71"/>
      <c r="Y10" s="70">
        <f t="shared" ref="Y10:Y30" si="1">W10*M10</f>
        <v>6127.1093456232456</v>
      </c>
    </row>
    <row r="11" spans="1:25">
      <c r="A11" s="58">
        <v>2</v>
      </c>
      <c r="C11" s="62" t="s">
        <v>49</v>
      </c>
      <c r="D11" s="62"/>
      <c r="E11" s="116">
        <v>5.5E-2</v>
      </c>
      <c r="F11" s="66"/>
      <c r="G11" s="67">
        <v>37754</v>
      </c>
      <c r="H11" s="67"/>
      <c r="I11" s="67">
        <v>48670</v>
      </c>
      <c r="J11" s="67"/>
      <c r="K11" s="68">
        <v>70000</v>
      </c>
      <c r="L11" s="68"/>
      <c r="M11" s="68">
        <v>70000</v>
      </c>
      <c r="N11" s="68"/>
      <c r="O11" s="69">
        <v>99.197999999999993</v>
      </c>
      <c r="P11" s="69"/>
      <c r="Q11" s="70">
        <f t="shared" ref="Q11:Q25" si="2">(100-O11)*M11/100</f>
        <v>561.40000000000475</v>
      </c>
      <c r="R11" s="70"/>
      <c r="S11" s="70">
        <v>3810.2468900000003</v>
      </c>
      <c r="T11" s="63"/>
      <c r="U11" s="70">
        <f t="shared" si="0"/>
        <v>65628.353109999996</v>
      </c>
      <c r="V11" s="71"/>
      <c r="W11" s="112">
        <f t="shared" ref="W11:W30" si="3">YIELD(G11,I11,E11,(U11/K11)*100,100,2)</f>
        <v>5.9489763374888566E-2</v>
      </c>
      <c r="X11" s="71"/>
      <c r="Y11" s="70">
        <f t="shared" si="1"/>
        <v>4164.2834362422</v>
      </c>
    </row>
    <row r="12" spans="1:25">
      <c r="A12" s="58">
        <v>3</v>
      </c>
      <c r="C12" s="62" t="s">
        <v>50</v>
      </c>
      <c r="D12" s="62"/>
      <c r="E12" s="116">
        <v>5.5E-2</v>
      </c>
      <c r="F12" s="66"/>
      <c r="G12" s="67">
        <v>38072</v>
      </c>
      <c r="H12" s="67"/>
      <c r="I12" s="67">
        <v>49018</v>
      </c>
      <c r="J12" s="67"/>
      <c r="K12" s="68">
        <v>50000</v>
      </c>
      <c r="L12" s="68"/>
      <c r="M12" s="68">
        <v>50000</v>
      </c>
      <c r="N12" s="68"/>
      <c r="O12" s="69">
        <v>98.483000000000004</v>
      </c>
      <c r="P12" s="69"/>
      <c r="Q12" s="70">
        <f t="shared" si="2"/>
        <v>758.49999999999795</v>
      </c>
      <c r="R12" s="70"/>
      <c r="S12" s="70">
        <v>149.41932</v>
      </c>
      <c r="T12" s="63"/>
      <c r="U12" s="70">
        <f t="shared" si="0"/>
        <v>49092.080679999999</v>
      </c>
      <c r="V12" s="71"/>
      <c r="W12" s="112">
        <f t="shared" si="3"/>
        <v>5.6259085786513958E-2</v>
      </c>
      <c r="X12" s="71"/>
      <c r="Y12" s="70">
        <f t="shared" si="1"/>
        <v>2812.954289325698</v>
      </c>
    </row>
    <row r="13" spans="1:25">
      <c r="A13" s="58">
        <v>4</v>
      </c>
      <c r="C13" s="62" t="s">
        <v>51</v>
      </c>
      <c r="D13" s="62"/>
      <c r="E13" s="117">
        <v>5.8749999999999997E-2</v>
      </c>
      <c r="F13" s="66"/>
      <c r="G13" s="67">
        <v>38215</v>
      </c>
      <c r="H13" s="67"/>
      <c r="I13" s="67">
        <v>49171</v>
      </c>
      <c r="J13" s="67"/>
      <c r="K13" s="68">
        <v>55000</v>
      </c>
      <c r="L13" s="68"/>
      <c r="M13" s="68">
        <v>55000</v>
      </c>
      <c r="N13" s="68"/>
      <c r="O13" s="69">
        <v>97.89</v>
      </c>
      <c r="P13" s="69"/>
      <c r="Q13" s="70">
        <f t="shared" si="2"/>
        <v>1160.4999999999998</v>
      </c>
      <c r="R13" s="70"/>
      <c r="S13" s="70">
        <v>173.25947999999997</v>
      </c>
      <c r="T13" s="63"/>
      <c r="U13" s="70">
        <f t="shared" si="0"/>
        <v>53666.240519999999</v>
      </c>
      <c r="V13" s="71"/>
      <c r="W13" s="112">
        <f t="shared" si="3"/>
        <v>6.0511966969041583E-2</v>
      </c>
      <c r="X13" s="71"/>
      <c r="Y13" s="70">
        <f t="shared" si="1"/>
        <v>3328.158183297287</v>
      </c>
    </row>
    <row r="14" spans="1:25">
      <c r="A14" s="58">
        <v>5</v>
      </c>
      <c r="C14" s="62" t="s">
        <v>52</v>
      </c>
      <c r="D14" s="62"/>
      <c r="E14" s="116">
        <v>5.2999999999999999E-2</v>
      </c>
      <c r="F14" s="66"/>
      <c r="G14" s="67">
        <v>38590</v>
      </c>
      <c r="H14" s="67"/>
      <c r="I14" s="67">
        <v>49536</v>
      </c>
      <c r="J14" s="67"/>
      <c r="K14" s="68">
        <v>60000</v>
      </c>
      <c r="L14" s="68"/>
      <c r="M14" s="68">
        <v>60000</v>
      </c>
      <c r="N14" s="68"/>
      <c r="O14" s="69">
        <v>98.569000000000003</v>
      </c>
      <c r="P14" s="69"/>
      <c r="Q14" s="70">
        <f t="shared" si="2"/>
        <v>858.59999999999843</v>
      </c>
      <c r="R14" s="70"/>
      <c r="S14" s="70">
        <v>3399.7387599999997</v>
      </c>
      <c r="T14" s="63"/>
      <c r="U14" s="70">
        <f t="shared" si="0"/>
        <v>55741.661240000001</v>
      </c>
      <c r="V14" s="71"/>
      <c r="W14" s="112">
        <f t="shared" si="3"/>
        <v>5.8021037371971895E-2</v>
      </c>
      <c r="X14" s="71"/>
      <c r="Y14" s="70">
        <f t="shared" si="1"/>
        <v>3481.2622423183138</v>
      </c>
    </row>
    <row r="15" spans="1:25">
      <c r="A15" s="58">
        <v>6</v>
      </c>
      <c r="C15" s="62" t="s">
        <v>53</v>
      </c>
      <c r="D15" s="62"/>
      <c r="E15" s="116">
        <v>6.3E-2</v>
      </c>
      <c r="F15" s="66"/>
      <c r="G15" s="67">
        <v>39255</v>
      </c>
      <c r="H15" s="67"/>
      <c r="I15" s="67">
        <v>50206</v>
      </c>
      <c r="J15" s="67"/>
      <c r="K15" s="68">
        <v>140000</v>
      </c>
      <c r="L15" s="68"/>
      <c r="M15" s="68">
        <v>140000</v>
      </c>
      <c r="N15" s="68"/>
      <c r="O15" s="69">
        <v>99.051000000000002</v>
      </c>
      <c r="P15" s="69"/>
      <c r="Q15" s="70">
        <f t="shared" si="2"/>
        <v>1328.5999999999974</v>
      </c>
      <c r="R15" s="70"/>
      <c r="S15" s="70">
        <v>450.03067999999996</v>
      </c>
      <c r="T15" s="63"/>
      <c r="U15" s="70">
        <f t="shared" si="0"/>
        <v>138221.36932</v>
      </c>
      <c r="V15" s="71"/>
      <c r="W15" s="112">
        <f t="shared" si="3"/>
        <v>6.3956176346651808E-2</v>
      </c>
      <c r="X15" s="71"/>
      <c r="Y15" s="70">
        <f t="shared" si="1"/>
        <v>8953.8646885312537</v>
      </c>
    </row>
    <row r="16" spans="1:25">
      <c r="A16" s="58">
        <v>7</v>
      </c>
      <c r="C16" s="62" t="s">
        <v>54</v>
      </c>
      <c r="D16" s="62"/>
      <c r="E16" s="116">
        <v>6.25E-2</v>
      </c>
      <c r="F16" s="66"/>
      <c r="G16" s="67">
        <v>39373</v>
      </c>
      <c r="H16" s="67"/>
      <c r="I16" s="67">
        <v>50328</v>
      </c>
      <c r="J16" s="67"/>
      <c r="K16" s="68">
        <v>100000</v>
      </c>
      <c r="L16" s="68"/>
      <c r="M16" s="68">
        <v>100000</v>
      </c>
      <c r="N16" s="68"/>
      <c r="O16" s="69">
        <v>98.981999999999999</v>
      </c>
      <c r="P16" s="69"/>
      <c r="Q16" s="70">
        <f t="shared" si="2"/>
        <v>1018.0000000000007</v>
      </c>
      <c r="R16" s="70"/>
      <c r="S16" s="70">
        <v>477.48976999999996</v>
      </c>
      <c r="T16" s="63"/>
      <c r="U16" s="70">
        <f t="shared" si="0"/>
        <v>98504.51023</v>
      </c>
      <c r="V16" s="71"/>
      <c r="W16" s="112">
        <f t="shared" si="3"/>
        <v>6.362251555849123E-2</v>
      </c>
      <c r="X16" s="71"/>
      <c r="Y16" s="70">
        <f t="shared" si="1"/>
        <v>6362.2515558491232</v>
      </c>
    </row>
    <row r="17" spans="1:25">
      <c r="A17" s="58">
        <v>8</v>
      </c>
      <c r="C17" s="62" t="s">
        <v>59</v>
      </c>
      <c r="D17" s="62"/>
      <c r="E17" s="116">
        <v>4.8499999999999995E-2</v>
      </c>
      <c r="F17" s="66"/>
      <c r="G17" s="67">
        <v>40420</v>
      </c>
      <c r="H17" s="67"/>
      <c r="I17" s="67">
        <v>51363</v>
      </c>
      <c r="J17" s="67"/>
      <c r="K17" s="68">
        <v>100000</v>
      </c>
      <c r="L17" s="68"/>
      <c r="M17" s="68">
        <v>100000</v>
      </c>
      <c r="N17" s="68"/>
      <c r="O17" s="69">
        <v>99.08</v>
      </c>
      <c r="P17" s="69"/>
      <c r="Q17" s="70">
        <f t="shared" si="2"/>
        <v>920.00000000000171</v>
      </c>
      <c r="R17" s="70"/>
      <c r="S17" s="70">
        <v>534.87079999999992</v>
      </c>
      <c r="T17" s="63"/>
      <c r="U17" s="70">
        <f t="shared" si="0"/>
        <v>98545.129199999996</v>
      </c>
      <c r="V17" s="71"/>
      <c r="W17" s="112">
        <f t="shared" si="3"/>
        <v>4.9434467700039009E-2</v>
      </c>
      <c r="X17" s="71"/>
      <c r="Y17" s="70">
        <f t="shared" si="1"/>
        <v>4943.4467700039013</v>
      </c>
    </row>
    <row r="18" spans="1:25">
      <c r="A18" s="58">
        <v>9</v>
      </c>
      <c r="C18" s="62" t="s">
        <v>122</v>
      </c>
      <c r="D18" s="62"/>
      <c r="E18" s="116">
        <v>4.2999999999999997E-2</v>
      </c>
      <c r="F18" s="66"/>
      <c r="G18" s="67">
        <v>41012</v>
      </c>
      <c r="H18" s="67"/>
      <c r="I18" s="67">
        <v>51957</v>
      </c>
      <c r="J18" s="67"/>
      <c r="K18" s="68">
        <v>75000</v>
      </c>
      <c r="L18" s="68"/>
      <c r="M18" s="68">
        <v>75000</v>
      </c>
      <c r="N18" s="68"/>
      <c r="O18" s="69">
        <v>99.183999999999997</v>
      </c>
      <c r="P18" s="69"/>
      <c r="Q18" s="70">
        <f t="shared" si="2"/>
        <v>612.00000000000193</v>
      </c>
      <c r="R18" s="70"/>
      <c r="S18" s="70">
        <v>1397.7900649999999</v>
      </c>
      <c r="T18" s="63"/>
      <c r="U18" s="70">
        <f t="shared" si="0"/>
        <v>72990.209935000006</v>
      </c>
      <c r="V18" s="71"/>
      <c r="W18" s="112">
        <f t="shared" si="3"/>
        <v>4.4629381714833362E-2</v>
      </c>
      <c r="X18" s="71"/>
      <c r="Y18" s="70">
        <f t="shared" si="1"/>
        <v>3347.2036286125021</v>
      </c>
    </row>
    <row r="19" spans="1:25">
      <c r="A19" s="58">
        <v>10</v>
      </c>
      <c r="C19" s="62" t="s">
        <v>123</v>
      </c>
      <c r="D19" s="62"/>
      <c r="E19" s="116">
        <v>0.04</v>
      </c>
      <c r="F19" s="66"/>
      <c r="G19" s="67">
        <v>41372</v>
      </c>
      <c r="H19" s="67"/>
      <c r="I19" s="67">
        <v>52322</v>
      </c>
      <c r="J19" s="67"/>
      <c r="K19" s="68">
        <v>75000</v>
      </c>
      <c r="L19" s="68"/>
      <c r="M19" s="68">
        <v>75000</v>
      </c>
      <c r="N19" s="68"/>
      <c r="O19" s="69">
        <v>98.991</v>
      </c>
      <c r="P19" s="69"/>
      <c r="Q19" s="70">
        <f t="shared" si="2"/>
        <v>756.75000000000034</v>
      </c>
      <c r="R19" s="70"/>
      <c r="S19" s="70">
        <v>179.22790999999998</v>
      </c>
      <c r="T19" s="63"/>
      <c r="U19" s="70">
        <f t="shared" si="0"/>
        <v>74064.022089999999</v>
      </c>
      <c r="V19" s="71"/>
      <c r="W19" s="112">
        <f t="shared" si="3"/>
        <v>4.0724145402409428E-2</v>
      </c>
      <c r="X19" s="71"/>
      <c r="Y19" s="70">
        <f t="shared" si="1"/>
        <v>3054.3109051807073</v>
      </c>
    </row>
    <row r="20" spans="1:25">
      <c r="A20" s="58">
        <v>11</v>
      </c>
      <c r="C20" s="62" t="s">
        <v>124</v>
      </c>
      <c r="D20" s="62"/>
      <c r="E20" s="116">
        <v>3.6499999999999998E-2</v>
      </c>
      <c r="F20" s="66"/>
      <c r="G20" s="67">
        <v>42069</v>
      </c>
      <c r="H20" s="67"/>
      <c r="I20" s="67">
        <v>53022</v>
      </c>
      <c r="J20" s="67"/>
      <c r="K20" s="68">
        <v>250000</v>
      </c>
      <c r="L20" s="68"/>
      <c r="M20" s="68">
        <v>250000</v>
      </c>
      <c r="N20" s="68"/>
      <c r="O20" s="69">
        <v>98.563999999999993</v>
      </c>
      <c r="P20" s="69"/>
      <c r="Q20" s="70">
        <f t="shared" si="2"/>
        <v>3590.0000000000173</v>
      </c>
      <c r="R20" s="70"/>
      <c r="S20" s="70">
        <v>19137.506000000001</v>
      </c>
      <c r="T20" s="63"/>
      <c r="U20" s="70">
        <f t="shared" si="0"/>
        <v>227272.49399999998</v>
      </c>
      <c r="V20" s="71"/>
      <c r="W20" s="112">
        <f t="shared" si="3"/>
        <v>4.1849295409802867E-2</v>
      </c>
      <c r="X20" s="71"/>
      <c r="Y20" s="70">
        <f t="shared" si="1"/>
        <v>10462.323852450716</v>
      </c>
    </row>
    <row r="21" spans="1:25">
      <c r="A21" s="58">
        <v>12</v>
      </c>
      <c r="C21" s="62" t="s">
        <v>125</v>
      </c>
      <c r="D21" s="62"/>
      <c r="E21" s="116">
        <v>4.0500000000000001E-2</v>
      </c>
      <c r="F21" s="66"/>
      <c r="G21" s="67">
        <v>42439</v>
      </c>
      <c r="H21" s="67"/>
      <c r="I21" s="67">
        <v>53387</v>
      </c>
      <c r="J21" s="67"/>
      <c r="K21" s="68">
        <v>120000</v>
      </c>
      <c r="L21" s="68"/>
      <c r="M21" s="68">
        <v>120000</v>
      </c>
      <c r="N21" s="68"/>
      <c r="O21" s="69">
        <v>98.992000000000004</v>
      </c>
      <c r="P21" s="69"/>
      <c r="Q21" s="70">
        <f t="shared" si="2"/>
        <v>1209.5999999999947</v>
      </c>
      <c r="R21" s="70"/>
      <c r="S21" s="70">
        <v>14689.401820000001</v>
      </c>
      <c r="T21" s="63"/>
      <c r="U21" s="70">
        <f t="shared" si="0"/>
        <v>104100.99818000001</v>
      </c>
      <c r="V21" s="71"/>
      <c r="W21" s="112">
        <f t="shared" si="3"/>
        <v>4.8975753032958591E-2</v>
      </c>
      <c r="X21" s="71"/>
      <c r="Y21" s="70">
        <f t="shared" si="1"/>
        <v>5877.0903639550306</v>
      </c>
    </row>
    <row r="22" spans="1:25">
      <c r="A22" s="58">
        <v>13</v>
      </c>
      <c r="C22" s="62" t="s">
        <v>126</v>
      </c>
      <c r="D22" s="62"/>
      <c r="E22" s="116">
        <v>4.2000000000000003E-2</v>
      </c>
      <c r="F22" s="66"/>
      <c r="G22" s="67">
        <v>43175</v>
      </c>
      <c r="H22" s="67"/>
      <c r="I22" s="67">
        <v>54118</v>
      </c>
      <c r="J22" s="67"/>
      <c r="K22" s="68">
        <v>220000</v>
      </c>
      <c r="L22" s="68"/>
      <c r="M22" s="68">
        <v>220000</v>
      </c>
      <c r="N22" s="68"/>
      <c r="O22" s="69">
        <v>98.88</v>
      </c>
      <c r="P22" s="69"/>
      <c r="Q22" s="70">
        <f t="shared" si="2"/>
        <v>2464.00000000001</v>
      </c>
      <c r="R22" s="70"/>
      <c r="S22" s="70">
        <v>5532.0465599999989</v>
      </c>
      <c r="T22" s="63"/>
      <c r="U22" s="70">
        <f t="shared" si="0"/>
        <v>212003.95344000001</v>
      </c>
      <c r="V22" s="71"/>
      <c r="W22" s="112">
        <f t="shared" si="3"/>
        <v>4.4199248086257345E-2</v>
      </c>
      <c r="X22" s="71"/>
      <c r="Y22" s="70">
        <f t="shared" si="1"/>
        <v>9723.8345789766154</v>
      </c>
    </row>
    <row r="23" spans="1:25">
      <c r="A23" s="58">
        <v>14</v>
      </c>
      <c r="C23" s="62" t="s">
        <v>126</v>
      </c>
      <c r="D23" s="62"/>
      <c r="E23" s="116">
        <v>4.2000000000000003E-2</v>
      </c>
      <c r="F23" s="66"/>
      <c r="G23" s="67">
        <v>43924</v>
      </c>
      <c r="H23" s="67"/>
      <c r="I23" s="67">
        <v>54118</v>
      </c>
      <c r="J23" s="67"/>
      <c r="K23" s="68">
        <v>230000</v>
      </c>
      <c r="L23" s="68"/>
      <c r="M23" s="68">
        <v>230000</v>
      </c>
      <c r="N23" s="68"/>
      <c r="O23" s="69">
        <v>113.01300000000001</v>
      </c>
      <c r="P23" s="69"/>
      <c r="Q23" s="70">
        <f t="shared" si="2"/>
        <v>-29929.900000000012</v>
      </c>
      <c r="R23" s="70"/>
      <c r="S23" s="70">
        <v>621.1161500000004</v>
      </c>
      <c r="T23" s="63"/>
      <c r="U23" s="70">
        <f t="shared" si="0"/>
        <v>259308.78385000004</v>
      </c>
      <c r="V23" s="71"/>
      <c r="W23" s="112">
        <f t="shared" si="3"/>
        <v>3.4823612583468319E-2</v>
      </c>
      <c r="X23" s="71"/>
      <c r="Y23" s="70">
        <f t="shared" si="1"/>
        <v>8009.4308941977133</v>
      </c>
    </row>
    <row r="24" spans="1:25">
      <c r="A24" s="58">
        <v>15</v>
      </c>
      <c r="C24" s="62" t="s">
        <v>127</v>
      </c>
      <c r="D24" s="62"/>
      <c r="E24" s="116">
        <v>1.9E-2</v>
      </c>
      <c r="F24" s="66"/>
      <c r="G24" s="67">
        <v>44004</v>
      </c>
      <c r="H24" s="67"/>
      <c r="I24" s="67">
        <v>47679</v>
      </c>
      <c r="J24" s="67"/>
      <c r="K24" s="68">
        <v>80000</v>
      </c>
      <c r="L24" s="68"/>
      <c r="M24" s="68">
        <v>80000</v>
      </c>
      <c r="N24" s="68"/>
      <c r="O24" s="69">
        <v>98.94</v>
      </c>
      <c r="P24" s="69"/>
      <c r="Q24" s="70">
        <f t="shared" si="2"/>
        <v>848.00000000000171</v>
      </c>
      <c r="R24" s="70"/>
      <c r="S24" s="70">
        <v>3925.2688099999996</v>
      </c>
      <c r="T24" s="63"/>
      <c r="U24" s="70">
        <f t="shared" si="0"/>
        <v>75226.731190000006</v>
      </c>
      <c r="V24" s="71"/>
      <c r="W24" s="112">
        <f t="shared" si="3"/>
        <v>2.5767752804927956E-2</v>
      </c>
      <c r="X24" s="71"/>
      <c r="Y24" s="70">
        <f t="shared" si="1"/>
        <v>2061.4202243942364</v>
      </c>
    </row>
    <row r="25" spans="1:25">
      <c r="A25" s="58">
        <v>16</v>
      </c>
      <c r="C25" s="62" t="s">
        <v>128</v>
      </c>
      <c r="D25" s="62"/>
      <c r="E25" s="116">
        <v>4.99E-2</v>
      </c>
      <c r="F25" s="66"/>
      <c r="G25" s="67">
        <v>44917</v>
      </c>
      <c r="H25" s="67"/>
      <c r="I25" s="67">
        <v>48570</v>
      </c>
      <c r="J25" s="67"/>
      <c r="K25" s="68">
        <v>23000</v>
      </c>
      <c r="L25" s="68"/>
      <c r="M25" s="68">
        <v>23000</v>
      </c>
      <c r="N25" s="68"/>
      <c r="O25" s="69">
        <v>99.5</v>
      </c>
      <c r="P25" s="69"/>
      <c r="Q25" s="70">
        <f t="shared" si="2"/>
        <v>115</v>
      </c>
      <c r="R25" s="70"/>
      <c r="S25" s="70">
        <v>53.857999999999997</v>
      </c>
      <c r="T25" s="63"/>
      <c r="U25" s="70">
        <f>K25-Q25-S25</f>
        <v>22831.142</v>
      </c>
      <c r="V25" s="71"/>
      <c r="W25" s="112">
        <f t="shared" si="3"/>
        <v>5.0845657929829251E-2</v>
      </c>
      <c r="X25" s="71"/>
      <c r="Y25" s="70">
        <f t="shared" si="1"/>
        <v>1169.4501323860727</v>
      </c>
    </row>
    <row r="26" spans="1:25">
      <c r="A26" s="58">
        <v>17</v>
      </c>
      <c r="C26" s="62" t="s">
        <v>129</v>
      </c>
      <c r="D26" s="62"/>
      <c r="E26" s="116">
        <v>5.0599999999999999E-2</v>
      </c>
      <c r="F26" s="66"/>
      <c r="G26" s="67">
        <v>44917</v>
      </c>
      <c r="H26" s="67"/>
      <c r="I26" s="67">
        <v>52222</v>
      </c>
      <c r="J26" s="67"/>
      <c r="K26" s="68">
        <v>25000</v>
      </c>
      <c r="L26" s="68"/>
      <c r="M26" s="68">
        <v>25000</v>
      </c>
      <c r="N26" s="68"/>
      <c r="O26" s="69">
        <v>99.5</v>
      </c>
      <c r="P26" s="69"/>
      <c r="Q26" s="70">
        <v>125.3</v>
      </c>
      <c r="R26" s="70"/>
      <c r="S26" s="70">
        <v>58.542000000000002</v>
      </c>
      <c r="T26" s="63"/>
      <c r="U26" s="70">
        <f t="shared" si="0"/>
        <v>24816.157999999999</v>
      </c>
      <c r="V26" s="71"/>
      <c r="W26" s="112">
        <f t="shared" si="3"/>
        <v>5.1191780607339754E-2</v>
      </c>
      <c r="X26" s="71"/>
      <c r="Y26" s="70">
        <f t="shared" si="1"/>
        <v>1279.7945151834938</v>
      </c>
    </row>
    <row r="27" spans="1:25">
      <c r="A27" s="58">
        <v>18</v>
      </c>
      <c r="C27" s="62" t="s">
        <v>130</v>
      </c>
      <c r="D27" s="62"/>
      <c r="E27" s="116">
        <v>5.0599999999999999E-2</v>
      </c>
      <c r="F27" s="66"/>
      <c r="G27" s="67">
        <v>44993</v>
      </c>
      <c r="H27" s="67"/>
      <c r="I27" s="67">
        <v>52298</v>
      </c>
      <c r="J27" s="67"/>
      <c r="K27" s="68">
        <v>60000</v>
      </c>
      <c r="L27" s="68"/>
      <c r="M27" s="68">
        <v>60000</v>
      </c>
      <c r="N27" s="68"/>
      <c r="O27" s="69">
        <v>99.5</v>
      </c>
      <c r="P27" s="69"/>
      <c r="Q27" s="70">
        <v>300.7</v>
      </c>
      <c r="R27" s="70"/>
      <c r="S27" s="70">
        <v>140.5</v>
      </c>
      <c r="T27" s="63"/>
      <c r="U27" s="70">
        <f t="shared" si="0"/>
        <v>59558.8</v>
      </c>
      <c r="V27" s="71"/>
      <c r="W27" s="112">
        <f t="shared" si="3"/>
        <v>5.1191752570634623E-2</v>
      </c>
      <c r="X27" s="71"/>
      <c r="Y27" s="70">
        <f t="shared" si="1"/>
        <v>3071.5051542380775</v>
      </c>
    </row>
    <row r="28" spans="1:25">
      <c r="A28" s="58">
        <v>19</v>
      </c>
      <c r="C28" s="62" t="s">
        <v>131</v>
      </c>
      <c r="D28" s="62"/>
      <c r="E28" s="116">
        <v>5.1999999999999998E-2</v>
      </c>
      <c r="F28" s="66"/>
      <c r="G28" s="67">
        <v>44993</v>
      </c>
      <c r="H28" s="67"/>
      <c r="I28" s="67">
        <v>55951</v>
      </c>
      <c r="J28" s="67"/>
      <c r="K28" s="68">
        <v>62000</v>
      </c>
      <c r="L28" s="68"/>
      <c r="M28" s="68">
        <v>62000</v>
      </c>
      <c r="N28" s="68"/>
      <c r="O28" s="69">
        <v>99.5</v>
      </c>
      <c r="P28" s="69"/>
      <c r="Q28" s="70">
        <v>310.7</v>
      </c>
      <c r="R28" s="70"/>
      <c r="S28" s="70">
        <v>145.18299999999999</v>
      </c>
      <c r="T28" s="63"/>
      <c r="U28" s="70">
        <f t="shared" si="0"/>
        <v>61544.117000000006</v>
      </c>
      <c r="V28" s="71"/>
      <c r="W28" s="112">
        <f t="shared" si="3"/>
        <v>5.248936547792634E-2</v>
      </c>
      <c r="X28" s="71"/>
      <c r="Y28" s="70">
        <f t="shared" si="1"/>
        <v>3254.340659631433</v>
      </c>
    </row>
    <row r="29" spans="1:25">
      <c r="A29" s="58">
        <v>20</v>
      </c>
      <c r="C29" s="62" t="s">
        <v>132</v>
      </c>
      <c r="D29" s="62"/>
      <c r="E29" s="116">
        <v>5.5E-2</v>
      </c>
      <c r="F29" s="66"/>
      <c r="G29" s="67">
        <v>44999</v>
      </c>
      <c r="H29" s="67"/>
      <c r="I29" s="67">
        <v>55958</v>
      </c>
      <c r="J29" s="67"/>
      <c r="K29" s="68">
        <v>400000</v>
      </c>
      <c r="L29" s="68"/>
      <c r="M29" s="68">
        <v>400000</v>
      </c>
      <c r="N29" s="68"/>
      <c r="O29" s="69">
        <v>98.182000000000002</v>
      </c>
      <c r="P29" s="69"/>
      <c r="Q29" s="70">
        <f>(100-O29)*M29/100</f>
        <v>7271.9999999999918</v>
      </c>
      <c r="R29" s="70"/>
      <c r="S29" s="70">
        <v>881.22199999999998</v>
      </c>
      <c r="T29" s="63"/>
      <c r="U29" s="70">
        <f>K29-Q29-S29</f>
        <v>391846.77799999999</v>
      </c>
      <c r="V29" s="71"/>
      <c r="W29" s="112">
        <f t="shared" si="3"/>
        <v>5.6416727066108167E-2</v>
      </c>
      <c r="X29" s="71"/>
      <c r="Y29" s="70">
        <f t="shared" si="1"/>
        <v>22566.690826443268</v>
      </c>
    </row>
    <row r="30" spans="1:25">
      <c r="A30" s="58">
        <v>21</v>
      </c>
      <c r="C30" s="62" t="s">
        <v>133</v>
      </c>
      <c r="D30" s="62"/>
      <c r="E30" s="116">
        <v>5.8000000000000003E-2</v>
      </c>
      <c r="F30" s="66"/>
      <c r="G30" s="67">
        <v>45180</v>
      </c>
      <c r="H30" s="67"/>
      <c r="I30" s="67">
        <v>56340</v>
      </c>
      <c r="J30" s="67"/>
      <c r="K30" s="68">
        <v>350000</v>
      </c>
      <c r="L30" s="68"/>
      <c r="M30" s="68">
        <v>350000</v>
      </c>
      <c r="N30" s="68"/>
      <c r="O30" s="69">
        <v>98.200999999999993</v>
      </c>
      <c r="P30" s="69"/>
      <c r="Q30" s="70">
        <f>(100-O30)*M30/100</f>
        <v>6296.5000000000236</v>
      </c>
      <c r="R30" s="70"/>
      <c r="S30" s="70">
        <v>707.11099999999999</v>
      </c>
      <c r="T30" s="63"/>
      <c r="U30" s="70">
        <f>K30-Q30-S30</f>
        <v>342996.38900000002</v>
      </c>
      <c r="V30" s="71"/>
      <c r="W30" s="112">
        <f t="shared" si="3"/>
        <v>5.9424626946709136E-2</v>
      </c>
      <c r="X30" s="71"/>
      <c r="Y30" s="70">
        <f t="shared" si="1"/>
        <v>20798.619431348197</v>
      </c>
    </row>
    <row r="31" spans="1:25">
      <c r="A31" s="58">
        <v>22</v>
      </c>
      <c r="C31" s="62" t="s">
        <v>134</v>
      </c>
      <c r="D31" s="62"/>
      <c r="E31" s="116">
        <v>5.1999999999999998E-2</v>
      </c>
      <c r="F31" s="66"/>
      <c r="G31" s="67">
        <v>45516</v>
      </c>
      <c r="H31" s="67"/>
      <c r="I31" s="67">
        <v>49171</v>
      </c>
      <c r="J31" s="67"/>
      <c r="K31" s="68">
        <v>300000</v>
      </c>
      <c r="L31" s="68"/>
      <c r="M31" s="68">
        <v>300000</v>
      </c>
      <c r="N31" s="68"/>
      <c r="O31" s="69">
        <v>99.287999999999997</v>
      </c>
      <c r="P31" s="69"/>
      <c r="Q31" s="70">
        <f t="shared" ref="Q31" si="4">(100-O31)*M31/100</f>
        <v>2136.00000000001</v>
      </c>
      <c r="R31" s="70"/>
      <c r="S31" s="70">
        <v>311.59800000000001</v>
      </c>
      <c r="T31" s="63"/>
      <c r="U31" s="70">
        <f t="shared" ref="U31" si="5">K31-Q31-S31</f>
        <v>297552.402</v>
      </c>
      <c r="V31" s="71"/>
      <c r="W31" s="112">
        <f t="shared" ref="W31" si="6">YIELD(G31,I31,E31,(U31/K31)*100,100,2)</f>
        <v>5.3060497523477378E-2</v>
      </c>
      <c r="X31" s="71"/>
      <c r="Y31" s="70">
        <f t="shared" ref="Y31" si="7">W31*M31</f>
        <v>15918.149257043213</v>
      </c>
    </row>
    <row r="32" spans="1:25">
      <c r="A32" s="58">
        <v>23</v>
      </c>
      <c r="C32" s="62" t="s">
        <v>135</v>
      </c>
      <c r="D32" s="62"/>
      <c r="E32" s="116">
        <v>5.7000000000000002E-2</v>
      </c>
      <c r="F32" s="66"/>
      <c r="G32" s="67">
        <v>45729</v>
      </c>
      <c r="H32" s="67"/>
      <c r="I32" s="67">
        <v>56688</v>
      </c>
      <c r="J32" s="67"/>
      <c r="K32" s="68">
        <v>400000</v>
      </c>
      <c r="L32" s="68"/>
      <c r="M32" s="68">
        <v>400000</v>
      </c>
      <c r="N32" s="68"/>
      <c r="O32" s="69">
        <v>98.356999999999999</v>
      </c>
      <c r="P32" s="69"/>
      <c r="Q32" s="70">
        <f t="shared" ref="Q32" si="8">(100-O32)*M32/100</f>
        <v>6572.0000000000027</v>
      </c>
      <c r="R32" s="70"/>
      <c r="S32" s="70">
        <v>970</v>
      </c>
      <c r="T32" s="63"/>
      <c r="U32" s="70">
        <f t="shared" ref="U32" si="9">K32-Q32-S32</f>
        <v>392458</v>
      </c>
      <c r="V32" s="71"/>
      <c r="W32" s="112">
        <f t="shared" ref="W32" si="10">YIELD(G32,I32,E32,(U32/K32)*100,100,2)</f>
        <v>5.8337993214209079E-2</v>
      </c>
      <c r="X32" s="71"/>
      <c r="Y32" s="70">
        <f t="shared" ref="Y32" si="11">W32*M32</f>
        <v>23335.197285683633</v>
      </c>
    </row>
    <row r="33" spans="1:25">
      <c r="A33" s="58">
        <v>24</v>
      </c>
      <c r="C33" s="62"/>
      <c r="D33" s="62"/>
      <c r="E33" s="116"/>
      <c r="F33" s="66"/>
      <c r="G33" s="67"/>
      <c r="H33" s="67"/>
      <c r="I33" s="67"/>
      <c r="J33" s="67"/>
      <c r="K33" s="68"/>
      <c r="L33" s="68"/>
      <c r="M33" s="68"/>
      <c r="N33" s="68"/>
      <c r="O33" s="69"/>
      <c r="P33" s="69"/>
      <c r="Q33" s="70"/>
      <c r="R33" s="70"/>
      <c r="S33" s="70"/>
      <c r="T33" s="63"/>
      <c r="U33" s="70"/>
      <c r="V33" s="71"/>
      <c r="W33" s="112"/>
      <c r="X33" s="71"/>
      <c r="Y33" s="70"/>
    </row>
    <row r="34" spans="1:25">
      <c r="A34" s="58">
        <v>25</v>
      </c>
      <c r="C34" s="64" t="s">
        <v>60</v>
      </c>
      <c r="D34" s="64"/>
      <c r="E34" s="116"/>
      <c r="K34" s="121">
        <f>SUM(K10:K33)</f>
        <v>3345000</v>
      </c>
      <c r="L34" s="68"/>
      <c r="M34" s="121">
        <f>SUM(M10:M33)</f>
        <v>3345000</v>
      </c>
      <c r="N34" s="68"/>
      <c r="Q34" s="122">
        <f>SUM(Q10:Q33)</f>
        <v>10578.25000000004</v>
      </c>
      <c r="R34" s="70"/>
      <c r="S34" s="122">
        <f>SUM(S10:S33)</f>
        <v>58186.643015000001</v>
      </c>
      <c r="T34" s="63"/>
      <c r="U34" s="122">
        <f>SUM(U10:U33)</f>
        <v>3276235.106985</v>
      </c>
      <c r="V34" s="71"/>
      <c r="W34" s="113">
        <f>Y34/M34</f>
        <v>5.2048637435251399E-2</v>
      </c>
      <c r="X34" s="71"/>
      <c r="Y34" s="122">
        <f>SUM(Y10:Y33)</f>
        <v>174102.69222091592</v>
      </c>
    </row>
    <row r="35" spans="1:25">
      <c r="A35" s="58">
        <v>26</v>
      </c>
      <c r="E35" s="116"/>
      <c r="T35" s="63"/>
      <c r="V35" s="71"/>
      <c r="W35" s="112"/>
      <c r="X35" s="71"/>
    </row>
    <row r="36" spans="1:25">
      <c r="A36" s="58">
        <v>27</v>
      </c>
      <c r="C36" s="61" t="s">
        <v>62</v>
      </c>
      <c r="D36" s="61"/>
      <c r="E36" s="116"/>
      <c r="T36" s="63"/>
      <c r="V36" s="71"/>
      <c r="W36" s="112"/>
      <c r="X36" s="71"/>
    </row>
    <row r="37" spans="1:25">
      <c r="A37" s="58">
        <v>28</v>
      </c>
      <c r="C37" s="62" t="s">
        <v>136</v>
      </c>
      <c r="D37" s="63"/>
      <c r="E37" s="116">
        <v>1.7000000000000001E-2</v>
      </c>
      <c r="F37" s="66"/>
      <c r="G37" s="67">
        <v>43698</v>
      </c>
      <c r="H37" s="67"/>
      <c r="I37" s="67">
        <v>46218</v>
      </c>
      <c r="J37" s="67"/>
      <c r="K37" s="121">
        <v>116300</v>
      </c>
      <c r="L37" s="68"/>
      <c r="M37" s="121">
        <v>116300</v>
      </c>
      <c r="N37" s="68"/>
      <c r="O37" s="58">
        <v>99.2</v>
      </c>
      <c r="Q37" s="122">
        <f t="shared" ref="Q37" si="12">(100-O37)*M37/100</f>
        <v>930.39999999999668</v>
      </c>
      <c r="R37" s="70"/>
      <c r="S37" s="122">
        <v>8612.8939939999982</v>
      </c>
      <c r="T37" s="63"/>
      <c r="U37" s="122">
        <f t="shared" ref="U37" si="13">K37-Q37-S37</f>
        <v>106756.70600600001</v>
      </c>
      <c r="V37" s="71"/>
      <c r="W37" s="113">
        <f>YIELD(G37,I37,E37,(U37/K37)*100,100,2)</f>
        <v>3.0265111733622462E-2</v>
      </c>
      <c r="X37" s="71"/>
      <c r="Y37" s="122">
        <f>W37*M37</f>
        <v>3519.8324946202924</v>
      </c>
    </row>
    <row r="38" spans="1:25">
      <c r="A38" s="58">
        <v>29</v>
      </c>
      <c r="C38" s="62"/>
      <c r="D38" s="63"/>
      <c r="E38" s="116"/>
      <c r="F38" s="66"/>
      <c r="G38" s="67"/>
      <c r="H38" s="67"/>
      <c r="I38" s="67"/>
      <c r="J38" s="67"/>
      <c r="K38" s="68"/>
      <c r="L38" s="68"/>
      <c r="M38" s="68"/>
      <c r="N38" s="68"/>
      <c r="O38" s="72"/>
      <c r="P38" s="72"/>
      <c r="Q38" s="70"/>
      <c r="R38" s="70"/>
      <c r="S38" s="70"/>
      <c r="T38" s="63"/>
      <c r="U38" s="70"/>
      <c r="V38" s="71"/>
      <c r="W38" s="112"/>
      <c r="X38" s="71"/>
      <c r="Y38" s="70"/>
    </row>
    <row r="39" spans="1:25">
      <c r="A39" s="58">
        <v>32</v>
      </c>
      <c r="K39" s="121"/>
      <c r="L39" s="68"/>
      <c r="M39" s="121"/>
      <c r="N39" s="68"/>
      <c r="Q39" s="122"/>
      <c r="R39" s="70"/>
      <c r="S39" s="122"/>
      <c r="T39" s="63"/>
      <c r="U39" s="122"/>
      <c r="V39" s="71"/>
      <c r="W39" s="113"/>
      <c r="X39" s="71"/>
      <c r="Y39" s="122"/>
    </row>
    <row r="40" spans="1:25" ht="13.5" thickBot="1">
      <c r="A40" s="58">
        <v>33</v>
      </c>
      <c r="C40" s="58" t="s">
        <v>137</v>
      </c>
      <c r="K40" s="73">
        <f>K34+K37</f>
        <v>3461300</v>
      </c>
      <c r="L40" s="73"/>
      <c r="M40" s="73">
        <f>M34+M37</f>
        <v>3461300</v>
      </c>
      <c r="N40" s="73"/>
      <c r="O40" s="74"/>
      <c r="P40" s="74"/>
      <c r="Q40" s="73">
        <f>Q34+Q37</f>
        <v>11508.650000000036</v>
      </c>
      <c r="R40" s="75"/>
      <c r="S40" s="73">
        <f>S34+S37</f>
        <v>66799.537008999992</v>
      </c>
      <c r="T40" s="65"/>
      <c r="U40" s="73">
        <f>U34+U37</f>
        <v>3382991.8129909998</v>
      </c>
      <c r="V40" s="76"/>
      <c r="W40" s="114">
        <f>Y40/M40</f>
        <v>5.1316708957771996E-2</v>
      </c>
      <c r="X40" s="76"/>
      <c r="Y40" s="73">
        <f>Y34+Y37</f>
        <v>177622.52471553622</v>
      </c>
    </row>
    <row r="41" spans="1:25" ht="13.5" thickTop="1"/>
    <row r="42" spans="1:25">
      <c r="A42" s="63"/>
      <c r="B42" s="63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</row>
    <row r="43" spans="1:25" ht="3" customHeight="1">
      <c r="A43" s="63"/>
      <c r="B43" s="63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</row>
    <row r="44" spans="1:25">
      <c r="Y44" s="119"/>
    </row>
  </sheetData>
  <mergeCells count="8">
    <mergeCell ref="C42:Y42"/>
    <mergeCell ref="C43:Y43"/>
    <mergeCell ref="A1:Y1"/>
    <mergeCell ref="A2:Y2"/>
    <mergeCell ref="A3:Y3"/>
    <mergeCell ref="A4:Y4"/>
    <mergeCell ref="A5:Y5"/>
    <mergeCell ref="K7:M7"/>
  </mergeCells>
  <phoneticPr fontId="18" type="noConversion"/>
  <printOptions horizontalCentered="1"/>
  <pageMargins left="0.75" right="0.25" top="1" bottom="1" header="0.5" footer="0.5"/>
  <pageSetup scale="56" orientation="portrait" r:id="rId1"/>
  <headerFooter alignWithMargins="0">
    <oddFooter>&amp;R&amp;"Arial,Regular"Exhibit No. 17
Case No. IPC-E-25-16
B. Buckham, IPC
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355C1AF9EC9489455BE76196417F9" ma:contentTypeVersion="8" ma:contentTypeDescription="Create a new document." ma:contentTypeScope="" ma:versionID="7aabf5ca7f3c62b7b239fd85fa028201">
  <xsd:schema xmlns:xsd="http://www.w3.org/2001/XMLSchema" xmlns:xs="http://www.w3.org/2001/XMLSchema" xmlns:p="http://schemas.microsoft.com/office/2006/metadata/properties" xmlns:ns2="a861b690-d0a9-4018-97d6-298fd6205a36" xmlns:ns3="d73927f9-2b79-496a-80ac-9ef64eb03c7b" targetNamespace="http://schemas.microsoft.com/office/2006/metadata/properties" ma:root="true" ma:fieldsID="e59beb11bb47b0b8343e38fe010f1a44" ns2:_="" ns3:_="">
    <xsd:import namespace="a861b690-d0a9-4018-97d6-298fd6205a36"/>
    <xsd:import namespace="d73927f9-2b79-496a-80ac-9ef64eb03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AddedInfo" minOccurs="0"/>
                <xsd:element ref="ns2:SortOrder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1b690-d0a9-4018-97d6-298fd6205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edInfo" ma:index="13" nillable="true" ma:displayName="Added Info" ma:description="Further information on the file/folder" ma:format="Dropdown" ma:internalName="AddedInfo">
      <xsd:simpleType>
        <xsd:restriction base="dms:Note">
          <xsd:maxLength value="255"/>
        </xsd:restriction>
      </xsd:simpleType>
    </xsd:element>
    <xsd:element name="SortOrderr" ma:index="14" nillable="true" ma:displayName="Sort Orderr" ma:format="Dropdown" ma:internalName="SortOrderr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927f9-2b79-496a-80ac-9ef64eb03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edInfo xmlns="a861b690-d0a9-4018-97d6-298fd6205a36" xsi:nil="true"/>
    <SortOrderr xmlns="a861b690-d0a9-4018-97d6-298fd6205a36" xsi:nil="true"/>
  </documentManagement>
</p:properties>
</file>

<file path=customXml/itemProps1.xml><?xml version="1.0" encoding="utf-8"?>
<ds:datastoreItem xmlns:ds="http://schemas.openxmlformats.org/officeDocument/2006/customXml" ds:itemID="{A368321E-0CBE-4ECA-A35A-D96417C2E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2BAEC8-3511-4B09-B1C2-99EB07F834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1b690-d0a9-4018-97d6-298fd6205a36"/>
    <ds:schemaRef ds:uri="d73927f9-2b79-496a-80ac-9ef64eb03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B5D253-421B-49DE-8569-A7880B697678}">
  <ds:schemaRefs>
    <ds:schemaRef ds:uri="http://schemas.microsoft.com/office/2006/metadata/properties"/>
    <ds:schemaRef ds:uri="http://schemas.microsoft.com/office/infopath/2007/PartnerControls"/>
    <ds:schemaRef ds:uri="d73927f9-2b79-496a-80ac-9ef64eb03c7b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a861b690-d0a9-4018-97d6-298fd6205a36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Overall Cost of Capital</vt:lpstr>
      <vt:lpstr>LTD</vt:lpstr>
      <vt:lpstr>Cost of Long Term Debt</vt:lpstr>
      <vt:lpstr>LTD!Print_Area</vt:lpstr>
      <vt:lpstr>'Overall Cost of Capital'!Print_Area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 of Outstanding Securities</dc:title>
  <dc:subject/>
  <dc:creator>Jerry Bresina</dc:creator>
  <cp:keywords/>
  <dc:description/>
  <cp:lastModifiedBy>Gust, Stacy</cp:lastModifiedBy>
  <cp:revision/>
  <cp:lastPrinted>2025-05-27T17:27:12Z</cp:lastPrinted>
  <dcterms:created xsi:type="dcterms:W3CDTF">1998-01-15T21:02:13Z</dcterms:created>
  <dcterms:modified xsi:type="dcterms:W3CDTF">2025-05-27T17:27:34Z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0x010100A9E355C1AF9EC9489455BE76196417F9</vt:lpwstr>
  </property>
  <property fmtid="{D5CDD505-2E9C-101B-9397-08002B2CF9AE}" pid="3" name="{A44787D4-0540-4523-9961-78E4036D8C6D}">
    <vt:lpwstr>{54E1B517-BB93-45EA-9617-5248E43407AF}</vt:lpwstr>
  </property>
</Properties>
</file>