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13_ncr:1_{435C5CFA-6B13-44CE-9703-CD11F18E34D4}" xr6:coauthVersionLast="47" xr6:coauthVersionMax="47" xr10:uidLastSave="{00000000-0000-0000-0000-000000000000}"/>
  <bookViews>
    <workbookView xWindow="-120" yWindow="-120" windowWidth="29040" windowHeight="15720" xr2:uid="{F2D53897-5BDD-40D9-BBC0-C82C058571BA}"/>
  </bookViews>
  <sheets>
    <sheet name="11" sheetId="2" r:id="rId1"/>
    <sheet name="Sheet1" sheetId="1" r:id="rId2"/>
  </sheets>
  <externalReferences>
    <externalReference r:id="rId3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0" hidden="1">40164.5046875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 localSheetId="0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'11'!$A$1:$X$68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 localSheetId="0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 localSheetId="0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5" i="2" l="1"/>
  <c r="M55" i="2"/>
  <c r="Q55" i="2" s="1"/>
  <c r="U55" i="2" s="1"/>
  <c r="S54" i="2"/>
  <c r="M54" i="2"/>
  <c r="Q54" i="2" s="1"/>
  <c r="U54" i="2" s="1"/>
  <c r="S52" i="2"/>
  <c r="Q52" i="2"/>
  <c r="U52" i="2" s="1"/>
  <c r="M52" i="2"/>
  <c r="M51" i="2"/>
  <c r="Q51" i="2" s="1"/>
  <c r="U51" i="2" s="1"/>
  <c r="A51" i="2"/>
  <c r="A52" i="2" s="1"/>
  <c r="A53" i="2" s="1"/>
  <c r="A54" i="2" s="1"/>
  <c r="A55" i="2" s="1"/>
  <c r="S50" i="2"/>
  <c r="M50" i="2"/>
  <c r="Q50" i="2" s="1"/>
  <c r="U50" i="2" s="1"/>
  <c r="A50" i="2"/>
  <c r="S49" i="2"/>
  <c r="M49" i="2"/>
  <c r="Q49" i="2" s="1"/>
  <c r="U49" i="2" s="1"/>
  <c r="A49" i="2"/>
  <c r="S48" i="2"/>
  <c r="M48" i="2"/>
  <c r="Q48" i="2" s="1"/>
  <c r="U48" i="2" s="1"/>
  <c r="S44" i="2"/>
  <c r="X44" i="2" s="1"/>
  <c r="M44" i="2"/>
  <c r="Q44" i="2" s="1"/>
  <c r="U44" i="2" s="1"/>
  <c r="S42" i="2"/>
  <c r="K42" i="2"/>
  <c r="M42" i="2" s="1"/>
  <c r="Q42" i="2" s="1"/>
  <c r="U42" i="2" s="1"/>
  <c r="S41" i="2"/>
  <c r="K41" i="2"/>
  <c r="M41" i="2" s="1"/>
  <c r="S40" i="2"/>
  <c r="M40" i="2"/>
  <c r="Q40" i="2" s="1"/>
  <c r="U40" i="2" s="1"/>
  <c r="G39" i="2"/>
  <c r="S39" i="2" s="1"/>
  <c r="S38" i="2"/>
  <c r="Q38" i="2"/>
  <c r="U38" i="2" s="1"/>
  <c r="M38" i="2"/>
  <c r="S37" i="2"/>
  <c r="O37" i="2"/>
  <c r="Q37" i="2" s="1"/>
  <c r="U37" i="2" s="1"/>
  <c r="M37" i="2"/>
  <c r="S36" i="2"/>
  <c r="M36" i="2"/>
  <c r="Q36" i="2" s="1"/>
  <c r="U36" i="2" s="1"/>
  <c r="S35" i="2"/>
  <c r="Q35" i="2"/>
  <c r="U35" i="2" s="1"/>
  <c r="M35" i="2"/>
  <c r="G33" i="2"/>
  <c r="S33" i="2" s="1"/>
  <c r="S32" i="2"/>
  <c r="Q32" i="2"/>
  <c r="U32" i="2" s="1"/>
  <c r="M32" i="2"/>
  <c r="S31" i="2"/>
  <c r="K31" i="2"/>
  <c r="M31" i="2" s="1"/>
  <c r="Q31" i="2" s="1"/>
  <c r="U31" i="2" s="1"/>
  <c r="G31" i="2"/>
  <c r="S30" i="2"/>
  <c r="M30" i="2"/>
  <c r="Q30" i="2" s="1"/>
  <c r="U30" i="2" s="1"/>
  <c r="G29" i="2"/>
  <c r="S29" i="2" s="1"/>
  <c r="S28" i="2"/>
  <c r="Q28" i="2"/>
  <c r="U28" i="2" s="1"/>
  <c r="M28" i="2"/>
  <c r="G26" i="2"/>
  <c r="M26" i="2" s="1"/>
  <c r="Q26" i="2" s="1"/>
  <c r="S25" i="2"/>
  <c r="K25" i="2"/>
  <c r="M25" i="2" s="1"/>
  <c r="Q25" i="2" s="1"/>
  <c r="U25" i="2" s="1"/>
  <c r="S24" i="2"/>
  <c r="K24" i="2"/>
  <c r="M24" i="2" s="1"/>
  <c r="Q24" i="2" s="1"/>
  <c r="U24" i="2" s="1"/>
  <c r="S22" i="2"/>
  <c r="M22" i="2"/>
  <c r="Q22" i="2" s="1"/>
  <c r="U22" i="2" s="1"/>
  <c r="S21" i="2"/>
  <c r="K21" i="2"/>
  <c r="M21" i="2" s="1"/>
  <c r="Q21" i="2" s="1"/>
  <c r="U21" i="2" s="1"/>
  <c r="S20" i="2"/>
  <c r="K20" i="2"/>
  <c r="M20" i="2" s="1"/>
  <c r="S19" i="2"/>
  <c r="M19" i="2"/>
  <c r="Q19" i="2" s="1"/>
  <c r="U19" i="2" s="1"/>
  <c r="S18" i="2"/>
  <c r="K18" i="2"/>
  <c r="M18" i="2" s="1"/>
  <c r="X17" i="2"/>
  <c r="S17" i="2"/>
  <c r="M17" i="2"/>
  <c r="Q17" i="2" s="1"/>
  <c r="U17" i="2" s="1"/>
  <c r="K17" i="2"/>
  <c r="S16" i="2"/>
  <c r="K16" i="2"/>
  <c r="M16" i="2" s="1"/>
  <c r="Q16" i="2" s="1"/>
  <c r="U16" i="2" s="1"/>
  <c r="M15" i="2"/>
  <c r="Q15" i="2" s="1"/>
  <c r="U15" i="2" s="1"/>
  <c r="G15" i="2"/>
  <c r="S15" i="2" s="1"/>
  <c r="S14" i="2"/>
  <c r="M14" i="2"/>
  <c r="Q14" i="2" s="1"/>
  <c r="U14" i="2" s="1"/>
  <c r="S13" i="2"/>
  <c r="M13" i="2"/>
  <c r="Q13" i="2" s="1"/>
  <c r="U13" i="2" s="1"/>
  <c r="G12" i="2"/>
  <c r="S12" i="2" s="1"/>
  <c r="S11" i="2"/>
  <c r="G11" i="2"/>
  <c r="M11" i="2" s="1"/>
  <c r="Q11" i="2" s="1"/>
  <c r="U11" i="2" s="1"/>
  <c r="A11" i="2"/>
  <c r="A12" i="2" s="1"/>
  <c r="A13" i="2" s="1"/>
  <c r="A14" i="2" s="1"/>
  <c r="A15" i="2" s="1"/>
  <c r="A16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S10" i="2"/>
  <c r="M10" i="2"/>
  <c r="Q10" i="2" s="1"/>
  <c r="U10" i="2" s="1"/>
  <c r="A10" i="2"/>
  <c r="S9" i="2"/>
  <c r="M9" i="2"/>
  <c r="Q9" i="2" s="1"/>
  <c r="U9" i="2" s="1"/>
  <c r="G5" i="2"/>
  <c r="I5" i="2" s="1"/>
  <c r="K5" i="2" s="1"/>
  <c r="M5" i="2" s="1"/>
  <c r="O5" i="2" s="1"/>
  <c r="Q5" i="2" s="1"/>
  <c r="S5" i="2" s="1"/>
  <c r="U5" i="2" s="1"/>
  <c r="A3" i="2"/>
  <c r="U1" i="2"/>
  <c r="A1" i="2"/>
  <c r="X24" i="2" l="1"/>
  <c r="X31" i="2"/>
  <c r="X41" i="2"/>
  <c r="Q41" i="2"/>
  <c r="U41" i="2" s="1"/>
  <c r="X42" i="2"/>
  <c r="U56" i="2"/>
  <c r="U26" i="2"/>
  <c r="X16" i="2"/>
  <c r="X18" i="2"/>
  <c r="Q18" i="2"/>
  <c r="U18" i="2" s="1"/>
  <c r="X25" i="2"/>
  <c r="U58" i="2"/>
  <c r="X20" i="2"/>
  <c r="Q20" i="2"/>
  <c r="U20" i="2" s="1"/>
  <c r="M29" i="2"/>
  <c r="Q29" i="2" s="1"/>
  <c r="U29" i="2" s="1"/>
  <c r="M33" i="2"/>
  <c r="Q33" i="2" s="1"/>
  <c r="U33" i="2" s="1"/>
  <c r="S26" i="2"/>
  <c r="M12" i="2"/>
  <c r="Q12" i="2" s="1"/>
  <c r="U12" i="2" s="1"/>
  <c r="U45" i="2" s="1"/>
  <c r="M39" i="2"/>
  <c r="Q39" i="2" s="1"/>
  <c r="U39" i="2" s="1"/>
</calcChain>
</file>

<file path=xl/sharedStrings.xml><?xml version="1.0" encoding="utf-8"?>
<sst xmlns="http://schemas.openxmlformats.org/spreadsheetml/2006/main" count="142" uniqueCount="127">
  <si>
    <t>Page 1 of 1</t>
  </si>
  <si>
    <t>Underwriting</t>
  </si>
  <si>
    <t>Total</t>
  </si>
  <si>
    <t>Gross Proceeds</t>
  </si>
  <si>
    <t>Flotation</t>
  </si>
  <si>
    <t>Shares</t>
  </si>
  <si>
    <t>Offering</t>
  </si>
  <si>
    <t>Discount</t>
  </si>
  <si>
    <t>Before Flot.</t>
  </si>
  <si>
    <t>Cost</t>
  </si>
  <si>
    <t>Latest</t>
  </si>
  <si>
    <t>Net</t>
  </si>
  <si>
    <t>No.</t>
  </si>
  <si>
    <t>Sym</t>
  </si>
  <si>
    <t>Company</t>
  </si>
  <si>
    <t>Date</t>
  </si>
  <si>
    <t>Issued</t>
  </si>
  <si>
    <t>Price</t>
  </si>
  <si>
    <t>(per share)</t>
  </si>
  <si>
    <t>Expense</t>
  </si>
  <si>
    <t>Costs</t>
  </si>
  <si>
    <t>(%)</t>
  </si>
  <si>
    <t>Proceeds</t>
  </si>
  <si>
    <t>LNT</t>
  </si>
  <si>
    <t>Alliant Energy</t>
  </si>
  <si>
    <t>AEE</t>
  </si>
  <si>
    <t>Ameren Corp.</t>
  </si>
  <si>
    <t>AEP</t>
  </si>
  <si>
    <t>American Elec Pwr</t>
  </si>
  <si>
    <t>AVA</t>
  </si>
  <si>
    <t>Avista Corp.</t>
  </si>
  <si>
    <t>BKH</t>
  </si>
  <si>
    <t>Black Hills Corp.</t>
  </si>
  <si>
    <t>CNP</t>
  </si>
  <si>
    <t>CenterPoint Energy</t>
  </si>
  <si>
    <t>CMS</t>
  </si>
  <si>
    <t>CMS Energy Corp.</t>
  </si>
  <si>
    <t>ED</t>
  </si>
  <si>
    <t>Consolidated Edison (a)</t>
  </si>
  <si>
    <t>Con Ed "Follow-On Offering" (a)</t>
  </si>
  <si>
    <t>D</t>
  </si>
  <si>
    <t>Dominion Energy (a)</t>
  </si>
  <si>
    <t>DTE</t>
  </si>
  <si>
    <t>DTE Energy Co.</t>
  </si>
  <si>
    <t>DUK</t>
  </si>
  <si>
    <t>Duke Energy Corp. (a)</t>
  </si>
  <si>
    <t>EIX</t>
  </si>
  <si>
    <t>Edison International</t>
  </si>
  <si>
    <t>ETR</t>
  </si>
  <si>
    <t>Entergy Corp.</t>
  </si>
  <si>
    <t>EVRG</t>
  </si>
  <si>
    <t>Evergy Inc.</t>
  </si>
  <si>
    <t>N/A</t>
  </si>
  <si>
    <t>ES</t>
  </si>
  <si>
    <t>Eversource Energy (a)</t>
  </si>
  <si>
    <t>EXC</t>
  </si>
  <si>
    <t>Exelon Corp. (a)</t>
  </si>
  <si>
    <t>FE</t>
  </si>
  <si>
    <t>FirstEnergy Corp.</t>
  </si>
  <si>
    <t>FTS</t>
  </si>
  <si>
    <t>Fortis Inc.</t>
  </si>
  <si>
    <t>HE</t>
  </si>
  <si>
    <t>Hawaiian Elec.</t>
  </si>
  <si>
    <t>IDA</t>
  </si>
  <si>
    <t>IDACORP, Inc.</t>
  </si>
  <si>
    <t>MGEE</t>
  </si>
  <si>
    <t>MGE Energy</t>
  </si>
  <si>
    <t>NEE</t>
  </si>
  <si>
    <t>NextEra Energy, Inc. (a)</t>
  </si>
  <si>
    <t>NWE</t>
  </si>
  <si>
    <t>NorthWestern Energy Group</t>
  </si>
  <si>
    <t>OGE</t>
  </si>
  <si>
    <t>OGE Energy Corp.</t>
  </si>
  <si>
    <t>OTTR</t>
  </si>
  <si>
    <t>Otter Tail Corp.</t>
  </si>
  <si>
    <t>PCG</t>
  </si>
  <si>
    <t>PG&amp;E Corp.</t>
  </si>
  <si>
    <t>PNW</t>
  </si>
  <si>
    <t>Pinnacle West Capital</t>
  </si>
  <si>
    <t>POR</t>
  </si>
  <si>
    <t>Portland General Elec.</t>
  </si>
  <si>
    <t>PPL</t>
  </si>
  <si>
    <t>PPL Corp.</t>
  </si>
  <si>
    <t>PEG</t>
  </si>
  <si>
    <t>Pub Sv Enterprise Grp.</t>
  </si>
  <si>
    <t>SRE</t>
  </si>
  <si>
    <t>Sempra Energy</t>
  </si>
  <si>
    <t>SO</t>
  </si>
  <si>
    <t>Southern Company (a)</t>
  </si>
  <si>
    <t>PNM</t>
  </si>
  <si>
    <t>TXNM Energy (a)</t>
  </si>
  <si>
    <t>WEC</t>
  </si>
  <si>
    <t>WEC Energy Group</t>
  </si>
  <si>
    <t>XEL</t>
  </si>
  <si>
    <t>Xcel Energy Inc. (a)</t>
  </si>
  <si>
    <t>Average</t>
  </si>
  <si>
    <t>ATO</t>
  </si>
  <si>
    <t>Atmos Energy Corp.</t>
  </si>
  <si>
    <t>CPK</t>
  </si>
  <si>
    <t>Chesapeake Utilities</t>
  </si>
  <si>
    <t>NJR</t>
  </si>
  <si>
    <t>New Jersey Resources</t>
  </si>
  <si>
    <t>NI</t>
  </si>
  <si>
    <t>NiSource Inc.</t>
  </si>
  <si>
    <t>NWN</t>
  </si>
  <si>
    <t>Northwest Nat. Holding Co.</t>
  </si>
  <si>
    <t>OGS</t>
  </si>
  <si>
    <t>ONE Gas, Inc.</t>
  </si>
  <si>
    <t>SWX</t>
  </si>
  <si>
    <t>Southwest Gas</t>
  </si>
  <si>
    <t>SR</t>
  </si>
  <si>
    <t>Spire Inc.</t>
  </si>
  <si>
    <t>Average - Electric &amp; Gas</t>
  </si>
  <si>
    <t>Column Notes:</t>
  </si>
  <si>
    <t>(1-4)</t>
  </si>
  <si>
    <t>SEC Form 424B for each company (through Mar 17, 2025).</t>
  </si>
  <si>
    <t>(5)</t>
  </si>
  <si>
    <t>Column (2) * Column (4)</t>
  </si>
  <si>
    <t>(6)</t>
  </si>
  <si>
    <t>(7)</t>
  </si>
  <si>
    <t>Column (5) + Column (6)</t>
  </si>
  <si>
    <t>(8)</t>
  </si>
  <si>
    <t>Column (2) * Column (3)</t>
  </si>
  <si>
    <t>(9)</t>
  </si>
  <si>
    <t>Column (7) / Column (8)</t>
  </si>
  <si>
    <t xml:space="preserve">Note (a):  </t>
  </si>
  <si>
    <t>Underwriting discount computed as the difference between the current market price and the price offered to the issuing company by the underwriters.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</si>
</sst>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_);[Red]\(0.0000\)"/>
    <numFmt numFmtId="165" formatCode="0_);\(0\)"/>
    <numFmt numFmtId="166" formatCode="0\ \ "/>
    <numFmt numFmtId="167" formatCode="m/d/yyyy;@"/>
    <numFmt numFmtId="168" formatCode="0.0%"/>
    <numFmt numFmtId="169" formatCode="&quot;$&quot;#,##0.00000_);[Red]\(&quot;$&quot;#,##0.00000\)"/>
    <numFmt numFmtId="170" formatCode="0.00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 New"/>
      <family val="3"/>
    </font>
    <font>
      <sz val="11"/>
      <name val="Palatino Linotype"/>
      <family val="1"/>
    </font>
    <font>
      <sz val="12"/>
      <name val="Courier New"/>
      <family val="3"/>
    </font>
    <font>
      <sz val="12"/>
      <name val="Times New Roman"/>
      <family val="1"/>
    </font>
    <font>
      <b/>
      <sz val="12"/>
      <color rgb="FFFF0000"/>
      <name val="Courier New"/>
      <family val="3"/>
    </font>
    <font>
      <sz val="10"/>
      <name val="Courier"/>
      <family val="3"/>
    </font>
    <font>
      <b/>
      <u/>
      <sz val="12"/>
      <name val="Courier New"/>
      <family val="3"/>
    </font>
    <font>
      <b/>
      <sz val="12"/>
      <name val="Times New Roman"/>
      <family val="1"/>
    </font>
    <font>
      <sz val="10"/>
      <name val="Courier New"/>
      <family val="3"/>
    </font>
    <font>
      <b/>
      <sz val="10"/>
      <name val="Courier New"/>
      <family val="3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9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4" fillId="0" borderId="0" xfId="2" applyFont="1"/>
    <xf numFmtId="2" fontId="4" fillId="0" borderId="0" xfId="3" applyNumberFormat="1" applyFont="1" applyAlignment="1">
      <alignment horizontal="center"/>
    </xf>
    <xf numFmtId="0" fontId="2" fillId="0" borderId="0" xfId="2" applyFont="1" applyAlignment="1">
      <alignment horizontal="right"/>
    </xf>
    <xf numFmtId="0" fontId="5" fillId="0" borderId="0" xfId="2" applyFont="1"/>
    <xf numFmtId="164" fontId="5" fillId="0" borderId="0" xfId="2" applyNumberFormat="1" applyFont="1"/>
    <xf numFmtId="0" fontId="6" fillId="0" borderId="0" xfId="1" applyFont="1" applyAlignment="1">
      <alignment horizontal="left"/>
    </xf>
    <xf numFmtId="0" fontId="8" fillId="0" borderId="0" xfId="4" applyFont="1" applyAlignment="1">
      <alignment horizontal="left"/>
    </xf>
    <xf numFmtId="0" fontId="8" fillId="0" borderId="0" xfId="2" applyFont="1" applyAlignment="1">
      <alignment horizontal="left"/>
    </xf>
    <xf numFmtId="0" fontId="4" fillId="2" borderId="0" xfId="2" applyFont="1" applyFill="1" applyAlignment="1">
      <alignment horizontal="left"/>
    </xf>
    <xf numFmtId="0" fontId="4" fillId="2" borderId="0" xfId="2" applyFont="1" applyFill="1" applyAlignment="1">
      <alignment horizontal="center"/>
    </xf>
    <xf numFmtId="0" fontId="4" fillId="2" borderId="0" xfId="2" applyFont="1" applyFill="1"/>
    <xf numFmtId="165" fontId="4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2" fontId="2" fillId="2" borderId="0" xfId="3" applyNumberFormat="1" applyFont="1" applyFill="1" applyAlignment="1">
      <alignment horizontal="center"/>
    </xf>
    <xf numFmtId="0" fontId="9" fillId="0" borderId="0" xfId="2" applyFont="1" applyAlignment="1">
      <alignment horizontal="center"/>
    </xf>
    <xf numFmtId="0" fontId="8" fillId="2" borderId="0" xfId="2" applyFont="1" applyFill="1" applyAlignment="1">
      <alignment horizontal="center"/>
    </xf>
    <xf numFmtId="164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2" fillId="2" borderId="1" xfId="2" applyFont="1" applyFill="1" applyBorder="1" applyAlignment="1">
      <alignment horizontal="left"/>
    </xf>
    <xf numFmtId="0" fontId="2" fillId="2" borderId="1" xfId="2" applyFont="1" applyFill="1" applyBorder="1"/>
    <xf numFmtId="0" fontId="2" fillId="2" borderId="1" xfId="2" applyFont="1" applyFill="1" applyBorder="1" applyAlignment="1">
      <alignment horizontal="center"/>
    </xf>
    <xf numFmtId="0" fontId="4" fillId="2" borderId="1" xfId="2" applyFont="1" applyFill="1" applyBorder="1"/>
    <xf numFmtId="2" fontId="2" fillId="2" borderId="1" xfId="3" applyNumberFormat="1" applyFont="1" applyFill="1" applyBorder="1" applyAlignment="1">
      <alignment horizontal="center"/>
    </xf>
    <xf numFmtId="0" fontId="9" fillId="0" borderId="1" xfId="2" applyFont="1" applyBorder="1" applyAlignment="1">
      <alignment horizontal="center"/>
    </xf>
    <xf numFmtId="164" fontId="5" fillId="0" borderId="1" xfId="2" applyNumberFormat="1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166" fontId="4" fillId="0" borderId="0" xfId="5" applyNumberFormat="1" applyFon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5" applyFont="1"/>
    <xf numFmtId="167" fontId="4" fillId="0" borderId="0" xfId="6" applyNumberFormat="1" applyFont="1" applyFill="1" applyBorder="1" applyAlignment="1">
      <alignment horizontal="center"/>
    </xf>
    <xf numFmtId="38" fontId="4" fillId="0" borderId="0" xfId="6" applyNumberFormat="1" applyFont="1" applyFill="1" applyBorder="1" applyAlignment="1">
      <alignment horizontal="center"/>
    </xf>
    <xf numFmtId="168" fontId="4" fillId="0" borderId="0" xfId="6" applyNumberFormat="1" applyFont="1" applyFill="1" applyBorder="1" applyAlignment="1">
      <alignment horizontal="center"/>
    </xf>
    <xf numFmtId="8" fontId="4" fillId="0" borderId="0" xfId="7" applyNumberFormat="1" applyFont="1" applyFill="1" applyBorder="1" applyAlignment="1">
      <alignment horizontal="center"/>
    </xf>
    <xf numFmtId="169" fontId="4" fillId="0" borderId="0" xfId="7" applyNumberFormat="1" applyFont="1" applyFill="1" applyBorder="1" applyAlignment="1">
      <alignment horizontal="center"/>
    </xf>
    <xf numFmtId="6" fontId="4" fillId="0" borderId="0" xfId="7" applyNumberFormat="1" applyFont="1" applyFill="1" applyBorder="1" applyAlignment="1">
      <alignment horizontal="center"/>
    </xf>
    <xf numFmtId="2" fontId="4" fillId="0" borderId="0" xfId="3" applyNumberFormat="1" applyFont="1" applyFill="1" applyBorder="1" applyAlignment="1">
      <alignment horizontal="center"/>
    </xf>
    <xf numFmtId="170" fontId="4" fillId="0" borderId="0" xfId="6" applyNumberFormat="1" applyFont="1" applyFill="1" applyBorder="1" applyAlignment="1">
      <alignment horizontal="center"/>
    </xf>
    <xf numFmtId="168" fontId="5" fillId="0" borderId="0" xfId="6" applyNumberFormat="1" applyFont="1" applyBorder="1" applyAlignment="1">
      <alignment horizontal="center"/>
    </xf>
    <xf numFmtId="164" fontId="5" fillId="0" borderId="0" xfId="8" applyNumberFormat="1" applyFont="1" applyAlignment="1">
      <alignment horizontal="left"/>
    </xf>
    <xf numFmtId="0" fontId="5" fillId="0" borderId="0" xfId="5" applyFont="1"/>
    <xf numFmtId="6" fontId="5" fillId="0" borderId="0" xfId="5" applyNumberFormat="1" applyFont="1"/>
    <xf numFmtId="167" fontId="4" fillId="0" borderId="0" xfId="6" applyNumberFormat="1" applyFont="1" applyFill="1" applyBorder="1" applyAlignment="1">
      <alignment horizontal="center"/>
    </xf>
    <xf numFmtId="0" fontId="4" fillId="0" borderId="0" xfId="5" applyFont="1" applyAlignment="1">
      <alignment horizontal="left"/>
    </xf>
    <xf numFmtId="0" fontId="2" fillId="0" borderId="0" xfId="5" applyFont="1" applyAlignment="1">
      <alignment horizontal="left" indent="1"/>
    </xf>
    <xf numFmtId="168" fontId="2" fillId="0" borderId="0" xfId="5" applyNumberFormat="1" applyFont="1" applyAlignment="1">
      <alignment horizontal="center"/>
    </xf>
    <xf numFmtId="2" fontId="2" fillId="0" borderId="0" xfId="3" applyNumberFormat="1" applyFont="1" applyBorder="1" applyAlignment="1">
      <alignment horizontal="center"/>
    </xf>
    <xf numFmtId="170" fontId="2" fillId="0" borderId="2" xfId="5" applyNumberFormat="1" applyFont="1" applyBorder="1" applyAlignment="1">
      <alignment horizontal="center"/>
    </xf>
    <xf numFmtId="168" fontId="9" fillId="0" borderId="0" xfId="5" applyNumberFormat="1" applyFont="1" applyAlignment="1">
      <alignment horizontal="center"/>
    </xf>
    <xf numFmtId="164" fontId="5" fillId="0" borderId="0" xfId="5" applyNumberFormat="1" applyFont="1"/>
    <xf numFmtId="10" fontId="5" fillId="0" borderId="0" xfId="6" applyNumberFormat="1" applyFont="1"/>
    <xf numFmtId="166" fontId="4" fillId="0" borderId="0" xfId="2" applyNumberFormat="1" applyFont="1" applyAlignment="1">
      <alignment horizontal="left"/>
    </xf>
    <xf numFmtId="167" fontId="4" fillId="0" borderId="0" xfId="6" applyNumberFormat="1" applyFont="1" applyFill="1" applyAlignment="1">
      <alignment horizontal="center"/>
    </xf>
    <xf numFmtId="38" fontId="4" fillId="0" borderId="0" xfId="6" applyNumberFormat="1" applyFont="1" applyAlignment="1">
      <alignment horizontal="center"/>
    </xf>
    <xf numFmtId="168" fontId="4" fillId="0" borderId="0" xfId="6" applyNumberFormat="1" applyFont="1" applyAlignment="1">
      <alignment horizontal="center"/>
    </xf>
    <xf numFmtId="8" fontId="4" fillId="0" borderId="0" xfId="7" applyNumberFormat="1" applyFont="1" applyAlignment="1">
      <alignment horizontal="center"/>
    </xf>
    <xf numFmtId="169" fontId="4" fillId="0" borderId="0" xfId="7" applyNumberFormat="1" applyFont="1" applyAlignment="1">
      <alignment horizontal="center"/>
    </xf>
    <xf numFmtId="6" fontId="4" fillId="0" borderId="0" xfId="7" applyNumberFormat="1" applyFont="1" applyAlignment="1">
      <alignment horizontal="center"/>
    </xf>
    <xf numFmtId="170" fontId="4" fillId="0" borderId="0" xfId="6" applyNumberFormat="1" applyFont="1" applyAlignment="1">
      <alignment horizontal="center"/>
    </xf>
    <xf numFmtId="168" fontId="5" fillId="0" borderId="0" xfId="6" applyNumberFormat="1" applyFont="1" applyAlignment="1">
      <alignment horizontal="center"/>
    </xf>
    <xf numFmtId="6" fontId="5" fillId="0" borderId="0" xfId="7" applyNumberFormat="1" applyFont="1" applyAlignment="1">
      <alignment horizontal="center"/>
    </xf>
    <xf numFmtId="167" fontId="4" fillId="0" borderId="0" xfId="6" applyNumberFormat="1" applyFont="1" applyAlignment="1">
      <alignment horizontal="center"/>
    </xf>
    <xf numFmtId="0" fontId="4" fillId="0" borderId="0" xfId="2" applyFont="1" applyAlignment="1">
      <alignment horizontal="left"/>
    </xf>
    <xf numFmtId="0" fontId="2" fillId="0" borderId="0" xfId="2" applyFont="1"/>
    <xf numFmtId="170" fontId="2" fillId="0" borderId="3" xfId="2" applyNumberFormat="1" applyFont="1" applyBorder="1" applyAlignment="1">
      <alignment horizontal="center"/>
    </xf>
    <xf numFmtId="170" fontId="2" fillId="0" borderId="0" xfId="2" applyNumberFormat="1" applyFont="1" applyAlignment="1">
      <alignment horizontal="center"/>
    </xf>
    <xf numFmtId="0" fontId="10" fillId="0" borderId="0" xfId="5" applyFont="1" applyAlignment="1">
      <alignment horizontal="left"/>
    </xf>
    <xf numFmtId="0" fontId="11" fillId="0" borderId="0" xfId="5" applyFont="1" applyAlignment="1">
      <alignment horizontal="left" indent="1"/>
    </xf>
    <xf numFmtId="0" fontId="10" fillId="0" borderId="0" xfId="5" applyFont="1"/>
    <xf numFmtId="168" fontId="11" fillId="0" borderId="0" xfId="5" applyNumberFormat="1" applyFont="1" applyAlignment="1">
      <alignment horizontal="center"/>
    </xf>
    <xf numFmtId="2" fontId="11" fillId="0" borderId="0" xfId="3" applyNumberFormat="1" applyFont="1" applyBorder="1" applyAlignment="1">
      <alignment horizontal="center"/>
    </xf>
    <xf numFmtId="168" fontId="12" fillId="0" borderId="0" xfId="5" applyNumberFormat="1" applyFont="1" applyAlignment="1">
      <alignment horizontal="center"/>
    </xf>
    <xf numFmtId="164" fontId="13" fillId="0" borderId="0" xfId="5" applyNumberFormat="1" applyFont="1"/>
    <xf numFmtId="10" fontId="13" fillId="0" borderId="0" xfId="6" applyNumberFormat="1" applyFont="1"/>
    <xf numFmtId="0" fontId="13" fillId="0" borderId="0" xfId="2" applyFont="1" applyAlignment="1">
      <alignment vertical="top"/>
    </xf>
    <xf numFmtId="0" fontId="10" fillId="0" borderId="0" xfId="5" applyFont="1" applyAlignment="1">
      <alignment vertical="top"/>
    </xf>
    <xf numFmtId="0" fontId="10" fillId="0" borderId="0" xfId="5" quotePrefix="1" applyFont="1" applyAlignment="1">
      <alignment horizontal="center" vertical="top" wrapText="1"/>
    </xf>
    <xf numFmtId="0" fontId="13" fillId="0" borderId="0" xfId="5" applyFont="1" applyAlignment="1">
      <alignment vertical="top"/>
    </xf>
    <xf numFmtId="164" fontId="13" fillId="0" borderId="0" xfId="5" applyNumberFormat="1" applyFont="1" applyAlignment="1">
      <alignment vertical="top"/>
    </xf>
    <xf numFmtId="0" fontId="13" fillId="0" borderId="0" xfId="2" applyFont="1" applyAlignment="1">
      <alignment vertical="top" wrapText="1"/>
    </xf>
    <xf numFmtId="164" fontId="13" fillId="0" borderId="0" xfId="5" applyNumberFormat="1" applyFont="1" applyAlignment="1">
      <alignment vertical="top" wrapText="1"/>
    </xf>
    <xf numFmtId="0" fontId="13" fillId="0" borderId="0" xfId="5" applyFont="1" applyAlignment="1">
      <alignment vertical="top" wrapText="1"/>
    </xf>
    <xf numFmtId="0" fontId="10" fillId="0" borderId="0" xfId="5" applyFont="1" applyAlignment="1">
      <alignment horizontal="left" vertical="top"/>
    </xf>
    <xf numFmtId="0" fontId="13" fillId="0" borderId="0" xfId="5" applyFont="1" applyAlignment="1">
      <alignment horizontal="left" vertical="top"/>
    </xf>
    <xf numFmtId="0" fontId="13" fillId="0" borderId="0" xfId="2" applyFont="1"/>
    <xf numFmtId="0" fontId="10" fillId="0" borderId="0" xfId="5" quotePrefix="1" applyFont="1" applyAlignment="1">
      <alignment horizontal="right"/>
    </xf>
    <xf numFmtId="2" fontId="10" fillId="0" borderId="0" xfId="3" applyNumberFormat="1" applyFont="1" applyFill="1" applyAlignment="1">
      <alignment horizontal="center"/>
    </xf>
    <xf numFmtId="0" fontId="13" fillId="0" borderId="0" xfId="5" applyFont="1"/>
    <xf numFmtId="0" fontId="5" fillId="0" borderId="0" xfId="2" applyFont="1" applyAlignment="1">
      <alignment horizontal="left"/>
    </xf>
    <xf numFmtId="2" fontId="5" fillId="0" borderId="0" xfId="3" applyNumberFormat="1" applyFont="1" applyAlignment="1">
      <alignment horizontal="center"/>
    </xf>
  </cellXfs>
  <cellStyles count="9">
    <cellStyle name="Comma 10" xfId="3" xr:uid="{B7FD4E96-0163-47F5-A766-CA8851BD6154}"/>
    <cellStyle name="Currency 10" xfId="7" xr:uid="{3FB29F06-B822-4520-8346-BCE3C370D5B2}"/>
    <cellStyle name="Normal" xfId="0" builtinId="0"/>
    <cellStyle name="Normal 10 21 3" xfId="5" xr:uid="{0DEFA90C-C826-4A35-9E00-C0ECCA0FDEB6}"/>
    <cellStyle name="Normal 22" xfId="2" xr:uid="{DEF08E5D-E2C4-4FD3-9E89-90230D735AB9}"/>
    <cellStyle name="Normal_Schedule WEA-1" xfId="1" xr:uid="{7032CEB9-8B42-49D2-B6D7-909639978D8E}"/>
    <cellStyle name="Normal_Value Line Group" xfId="8" xr:uid="{690D0BDE-3E5F-400E-BA70-C0915C73004D}"/>
    <cellStyle name="Normal_West Group" xfId="4" xr:uid="{7A60FF22-B329-43C6-8404-5317793C3930}"/>
    <cellStyle name="Percent 10" xfId="6" xr:uid="{8FA3BA38-DD51-43F7-836A-501846C11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B13" t="str">
            <v>Exhibit 11</v>
          </cell>
          <cell r="C13" t="str">
            <v>FLOTATION COST STUDY</v>
          </cell>
          <cell r="D13" t="str">
            <v>ELECTRIC &amp; GAS UTILITIES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/>
      <sheetData sheetId="32"/>
      <sheetData sheetId="33"/>
      <sheetData sheetId="34">
        <row r="8">
          <cell r="B8" t="str">
            <v>ALE</v>
          </cell>
          <cell r="C8" t="str">
            <v>ALLETE</v>
          </cell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</row>
        <row r="9">
          <cell r="B9" t="str">
            <v>LNT</v>
          </cell>
          <cell r="C9" t="str">
            <v>Alliant Energy</v>
          </cell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</row>
        <row r="10">
          <cell r="B10" t="str">
            <v>AEE</v>
          </cell>
          <cell r="C10" t="str">
            <v>Ameren Corp.</v>
          </cell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</row>
        <row r="11">
          <cell r="B11" t="str">
            <v>AEP</v>
          </cell>
          <cell r="C11" t="str">
            <v>American Elec Pwr</v>
          </cell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</row>
        <row r="12">
          <cell r="B12" t="str">
            <v>AVA</v>
          </cell>
          <cell r="C12" t="str">
            <v>Avista Corp.</v>
          </cell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</row>
        <row r="13">
          <cell r="B13" t="str">
            <v>BKH</v>
          </cell>
          <cell r="C13" t="str">
            <v>Black Hills Corp.</v>
          </cell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</row>
        <row r="14">
          <cell r="B14" t="str">
            <v>CNP</v>
          </cell>
          <cell r="C14" t="str">
            <v>CenterPoint Energy</v>
          </cell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</row>
        <row r="15">
          <cell r="B15" t="str">
            <v>CMS</v>
          </cell>
          <cell r="C15" t="str">
            <v>CMS Energy Corp.</v>
          </cell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</row>
        <row r="16">
          <cell r="B16" t="str">
            <v>ED</v>
          </cell>
          <cell r="C16" t="str">
            <v>Consolidated Edison</v>
          </cell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</row>
        <row r="17">
          <cell r="B17" t="str">
            <v>D</v>
          </cell>
          <cell r="C17" t="str">
            <v>Dominion Energy</v>
          </cell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</row>
        <row r="18">
          <cell r="B18" t="str">
            <v>DTE</v>
          </cell>
          <cell r="C18" t="str">
            <v>DTE Energy Co.</v>
          </cell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</row>
        <row r="19">
          <cell r="B19" t="str">
            <v>DUK</v>
          </cell>
          <cell r="C19" t="str">
            <v>Duke Energy Corp.</v>
          </cell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</row>
        <row r="20">
          <cell r="B20" t="str">
            <v>EIX</v>
          </cell>
          <cell r="C20" t="str">
            <v>Edison International</v>
          </cell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</row>
        <row r="21">
          <cell r="B21" t="str">
            <v>ETR</v>
          </cell>
          <cell r="C21" t="str">
            <v>Entergy Corp.</v>
          </cell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</row>
        <row r="22">
          <cell r="B22" t="str">
            <v>EVRG</v>
          </cell>
          <cell r="C22" t="str">
            <v>Evergy Inc.</v>
          </cell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</row>
        <row r="23">
          <cell r="B23" t="str">
            <v>ES</v>
          </cell>
          <cell r="C23" t="str">
            <v>Eversource Energy</v>
          </cell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</row>
        <row r="24">
          <cell r="B24" t="str">
            <v>EXC</v>
          </cell>
          <cell r="C24" t="str">
            <v>Exelon Corp.</v>
          </cell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</row>
        <row r="25">
          <cell r="B25" t="str">
            <v>FE</v>
          </cell>
          <cell r="C25" t="str">
            <v>FirstEnergy Corp.</v>
          </cell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</row>
        <row r="26">
          <cell r="B26" t="str">
            <v>FTS</v>
          </cell>
          <cell r="C26" t="str">
            <v>Fortis Inc.</v>
          </cell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</row>
        <row r="27">
          <cell r="B27" t="str">
            <v>HE</v>
          </cell>
          <cell r="C27" t="str">
            <v>Hawaiian Elec.</v>
          </cell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</row>
        <row r="28">
          <cell r="B28" t="str">
            <v>IDA</v>
          </cell>
          <cell r="C28" t="str">
            <v>IDACORP, Inc.</v>
          </cell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</row>
        <row r="29">
          <cell r="B29" t="str">
            <v>MGEE</v>
          </cell>
          <cell r="C29" t="str">
            <v>MGE Energy</v>
          </cell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</row>
        <row r="30">
          <cell r="B30" t="str">
            <v>NEE</v>
          </cell>
          <cell r="C30" t="str">
            <v>NextEra Energy, Inc.</v>
          </cell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</row>
        <row r="31">
          <cell r="B31" t="str">
            <v>NWE</v>
          </cell>
          <cell r="C31" t="str">
            <v>NorthWestern Energy Grp.</v>
          </cell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</row>
        <row r="32">
          <cell r="B32" t="str">
            <v>OGE</v>
          </cell>
          <cell r="C32" t="str">
            <v>OGE Energy Corp.</v>
          </cell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</row>
        <row r="33">
          <cell r="B33" t="str">
            <v>OTTR</v>
          </cell>
          <cell r="C33" t="str">
            <v>Otter Tail Corp.</v>
          </cell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</row>
        <row r="34">
          <cell r="B34" t="str">
            <v>PCG</v>
          </cell>
          <cell r="C34" t="str">
            <v>PG&amp;E Corp.</v>
          </cell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</row>
        <row r="35">
          <cell r="B35" t="str">
            <v>PNW</v>
          </cell>
          <cell r="C35" t="str">
            <v>Pinnacle West Capital</v>
          </cell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</row>
        <row r="36">
          <cell r="B36" t="str">
            <v>POR</v>
          </cell>
          <cell r="C36" t="str">
            <v>Portland General Elec.</v>
          </cell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</row>
        <row r="37">
          <cell r="B37" t="str">
            <v>PPL</v>
          </cell>
          <cell r="C37" t="str">
            <v>PPL Corp.</v>
          </cell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</row>
        <row r="38">
          <cell r="B38" t="str">
            <v>PEG</v>
          </cell>
          <cell r="C38" t="str">
            <v>Pub Sv Enterprise Grp.</v>
          </cell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</row>
        <row r="39">
          <cell r="B39" t="str">
            <v>SRE</v>
          </cell>
          <cell r="C39" t="str">
            <v>Sempra</v>
          </cell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</row>
        <row r="40">
          <cell r="B40" t="str">
            <v>SO</v>
          </cell>
          <cell r="C40" t="str">
            <v>Southern Company</v>
          </cell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</row>
        <row r="41">
          <cell r="B41" t="str">
            <v>TXNM</v>
          </cell>
          <cell r="C41" t="str">
            <v>TXNM Energy</v>
          </cell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</row>
        <row r="42">
          <cell r="B42" t="str">
            <v>WEC</v>
          </cell>
          <cell r="C42" t="str">
            <v>WEC Energy Group</v>
          </cell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</row>
        <row r="43">
          <cell r="B43" t="str">
            <v>XEL</v>
          </cell>
          <cell r="C43" t="str">
            <v>Xcel Energy Inc.</v>
          </cell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E3BE-CD0E-449C-9E81-4C7D7A3906F3}">
  <sheetPr>
    <pageSetUpPr fitToPage="1"/>
  </sheetPr>
  <dimension ref="A1:Y67"/>
  <sheetViews>
    <sheetView tabSelected="1" view="pageLayout" topLeftCell="A6" zoomScale="45" zoomScaleNormal="100" zoomScaleSheetLayoutView="100" zoomScalePageLayoutView="45" workbookViewId="0">
      <selection activeCell="C74" sqref="C74"/>
    </sheetView>
  </sheetViews>
  <sheetFormatPr defaultColWidth="10.5703125" defaultRowHeight="15.75" x14ac:dyDescent="0.25"/>
  <cols>
    <col min="1" max="1" width="7" style="90" customWidth="1"/>
    <col min="2" max="2" width="7.7109375" style="90" customWidth="1"/>
    <col min="3" max="3" width="47.140625" style="6" customWidth="1"/>
    <col min="4" max="4" width="2" style="6" customWidth="1"/>
    <col min="5" max="5" width="16.140625" style="6" customWidth="1"/>
    <col min="6" max="6" width="0.85546875" style="6" customWidth="1"/>
    <col min="7" max="7" width="17.42578125" style="6" customWidth="1"/>
    <col min="8" max="8" width="0.85546875" style="6" customWidth="1"/>
    <col min="9" max="9" width="14.42578125" style="6" customWidth="1"/>
    <col min="10" max="10" width="0.85546875" style="6" customWidth="1"/>
    <col min="11" max="11" width="15.7109375" style="6" customWidth="1"/>
    <col min="12" max="12" width="0.85546875" style="6" customWidth="1"/>
    <col min="13" max="13" width="20.5703125" style="6" customWidth="1"/>
    <col min="14" max="14" width="0.85546875" style="6" customWidth="1"/>
    <col min="15" max="15" width="18.42578125" style="6" customWidth="1"/>
    <col min="16" max="16" width="0.85546875" style="6" customWidth="1"/>
    <col min="17" max="17" width="20.42578125" style="91" customWidth="1"/>
    <col min="18" max="18" width="0.85546875" style="91" customWidth="1"/>
    <col min="19" max="19" width="23.140625" style="91" bestFit="1" customWidth="1"/>
    <col min="20" max="20" width="0.85546875" style="91" customWidth="1"/>
    <col min="21" max="21" width="17.140625" style="6" bestFit="1" customWidth="1"/>
    <col min="22" max="22" width="3.140625" style="6" customWidth="1"/>
    <col min="23" max="23" width="12.5703125" style="7" bestFit="1" customWidth="1"/>
    <col min="24" max="24" width="20.28515625" style="6" customWidth="1"/>
    <col min="25" max="16384" width="10.5703125" style="6"/>
  </cols>
  <sheetData>
    <row r="1" spans="1:24" ht="16.5" x14ac:dyDescent="0.3">
      <c r="A1" s="1" t="str">
        <f>'[1]Exhibit List'!C13</f>
        <v>FLOTATION COST STUDY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5" t="str">
        <f>'[1]Exhibit List'!B13</f>
        <v>Exhibit 11</v>
      </c>
    </row>
    <row r="2" spans="1:24" ht="16.5" x14ac:dyDescent="0.3">
      <c r="A2" s="1"/>
      <c r="B2" s="8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4"/>
      <c r="S2" s="4"/>
      <c r="T2" s="4"/>
      <c r="U2" s="5" t="s">
        <v>0</v>
      </c>
    </row>
    <row r="3" spans="1:24" ht="16.5" x14ac:dyDescent="0.3">
      <c r="A3" s="9" t="str">
        <f>'[1]Exhibit List'!D13</f>
        <v>ELECTRIC &amp; GAS UTILITIES</v>
      </c>
      <c r="B3" s="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  <c r="S3" s="4"/>
      <c r="T3" s="4"/>
      <c r="U3" s="3"/>
    </row>
    <row r="4" spans="1:24" ht="16.5" x14ac:dyDescent="0.3">
      <c r="A4" s="10"/>
      <c r="B4" s="1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4"/>
      <c r="S4" s="4"/>
      <c r="T4" s="4"/>
      <c r="U4" s="3"/>
    </row>
    <row r="5" spans="1:24" x14ac:dyDescent="0.25">
      <c r="A5" s="11"/>
      <c r="B5" s="11"/>
      <c r="C5" s="12"/>
      <c r="D5" s="13"/>
      <c r="E5" s="14">
        <v>-1</v>
      </c>
      <c r="F5" s="13"/>
      <c r="G5" s="14">
        <f>E5-1</f>
        <v>-2</v>
      </c>
      <c r="H5" s="13"/>
      <c r="I5" s="14">
        <f>G5-1</f>
        <v>-3</v>
      </c>
      <c r="J5" s="13"/>
      <c r="K5" s="14">
        <f>I5-1</f>
        <v>-4</v>
      </c>
      <c r="L5" s="13"/>
      <c r="M5" s="14">
        <f>K5-1</f>
        <v>-5</v>
      </c>
      <c r="N5" s="13"/>
      <c r="O5" s="14">
        <f>M5-1</f>
        <v>-6</v>
      </c>
      <c r="P5" s="12"/>
      <c r="Q5" s="14">
        <f>O5-1</f>
        <v>-7</v>
      </c>
      <c r="R5" s="12"/>
      <c r="S5" s="14">
        <f>Q5-1</f>
        <v>-8</v>
      </c>
      <c r="T5" s="12"/>
      <c r="U5" s="14">
        <f>S5-1</f>
        <v>-9</v>
      </c>
    </row>
    <row r="6" spans="1:24" ht="16.5" x14ac:dyDescent="0.3">
      <c r="A6" s="11"/>
      <c r="B6" s="11"/>
      <c r="C6" s="13"/>
      <c r="D6" s="13"/>
      <c r="E6" s="13"/>
      <c r="F6" s="13"/>
      <c r="G6" s="13"/>
      <c r="H6" s="13"/>
      <c r="I6" s="13"/>
      <c r="J6" s="15"/>
      <c r="K6" s="15" t="s">
        <v>1</v>
      </c>
      <c r="L6" s="15"/>
      <c r="M6" s="15"/>
      <c r="N6" s="15"/>
      <c r="O6" s="15"/>
      <c r="P6" s="15"/>
      <c r="Q6" s="16" t="s">
        <v>2</v>
      </c>
      <c r="R6" s="16"/>
      <c r="S6" s="16" t="s">
        <v>3</v>
      </c>
      <c r="T6" s="16"/>
      <c r="U6" s="16" t="s">
        <v>4</v>
      </c>
      <c r="V6" s="17"/>
    </row>
    <row r="7" spans="1:24" ht="16.5" x14ac:dyDescent="0.3">
      <c r="A7" s="11"/>
      <c r="B7" s="11"/>
      <c r="C7" s="13"/>
      <c r="D7" s="13"/>
      <c r="E7" s="15"/>
      <c r="F7" s="18"/>
      <c r="G7" s="15" t="s">
        <v>5</v>
      </c>
      <c r="H7" s="15"/>
      <c r="I7" s="15" t="s">
        <v>6</v>
      </c>
      <c r="J7" s="15"/>
      <c r="K7" s="15" t="s">
        <v>7</v>
      </c>
      <c r="L7" s="15"/>
      <c r="M7" s="15" t="s">
        <v>1</v>
      </c>
      <c r="N7" s="15"/>
      <c r="O7" s="15" t="s">
        <v>6</v>
      </c>
      <c r="P7" s="15"/>
      <c r="Q7" s="16" t="s">
        <v>4</v>
      </c>
      <c r="R7" s="13"/>
      <c r="S7" s="15" t="s">
        <v>8</v>
      </c>
      <c r="T7" s="13"/>
      <c r="U7" s="15" t="s">
        <v>9</v>
      </c>
      <c r="V7" s="17"/>
      <c r="W7" s="19" t="s">
        <v>10</v>
      </c>
      <c r="X7" s="20" t="s">
        <v>11</v>
      </c>
    </row>
    <row r="8" spans="1:24" ht="16.5" x14ac:dyDescent="0.3">
      <c r="A8" s="21" t="s">
        <v>12</v>
      </c>
      <c r="B8" s="21" t="s">
        <v>13</v>
      </c>
      <c r="C8" s="22" t="s">
        <v>14</v>
      </c>
      <c r="D8" s="22"/>
      <c r="E8" s="23" t="s">
        <v>15</v>
      </c>
      <c r="F8" s="24"/>
      <c r="G8" s="23" t="s">
        <v>16</v>
      </c>
      <c r="H8" s="23"/>
      <c r="I8" s="23" t="s">
        <v>17</v>
      </c>
      <c r="J8" s="23"/>
      <c r="K8" s="23" t="s">
        <v>18</v>
      </c>
      <c r="L8" s="23"/>
      <c r="M8" s="23" t="s">
        <v>7</v>
      </c>
      <c r="N8" s="23"/>
      <c r="O8" s="23" t="s">
        <v>19</v>
      </c>
      <c r="P8" s="23"/>
      <c r="Q8" s="25" t="s">
        <v>20</v>
      </c>
      <c r="R8" s="25"/>
      <c r="S8" s="25" t="s">
        <v>20</v>
      </c>
      <c r="T8" s="25"/>
      <c r="U8" s="23" t="s">
        <v>21</v>
      </c>
      <c r="V8" s="26"/>
      <c r="W8" s="27" t="s">
        <v>17</v>
      </c>
      <c r="X8" s="28" t="s">
        <v>22</v>
      </c>
    </row>
    <row r="9" spans="1:24" x14ac:dyDescent="0.25">
      <c r="A9" s="29">
        <v>1</v>
      </c>
      <c r="B9" s="29" t="s">
        <v>23</v>
      </c>
      <c r="C9" s="30" t="s">
        <v>24</v>
      </c>
      <c r="D9" s="31"/>
      <c r="E9" s="32">
        <v>43783</v>
      </c>
      <c r="F9" s="31"/>
      <c r="G9" s="33">
        <v>3717502</v>
      </c>
      <c r="H9" s="34"/>
      <c r="I9" s="35">
        <v>52.63</v>
      </c>
      <c r="J9" s="34"/>
      <c r="K9" s="36">
        <v>0.39500000000000002</v>
      </c>
      <c r="L9" s="34"/>
      <c r="M9" s="37">
        <f t="shared" ref="M9:M44" si="0">G9*K9</f>
        <v>1468413.29</v>
      </c>
      <c r="N9" s="34"/>
      <c r="O9" s="37">
        <v>500000</v>
      </c>
      <c r="P9" s="34"/>
      <c r="Q9" s="37">
        <f t="shared" ref="Q9:Q44" si="1">O9+M9</f>
        <v>1968413.29</v>
      </c>
      <c r="R9" s="38"/>
      <c r="S9" s="37">
        <f t="shared" ref="S9:S44" si="2">I9*G9</f>
        <v>195652130.26000002</v>
      </c>
      <c r="T9" s="38"/>
      <c r="U9" s="39">
        <f t="shared" ref="U9:U44" si="3">Q9/S9</f>
        <v>1.0060781282494583E-2</v>
      </c>
      <c r="V9" s="40"/>
      <c r="W9" s="41"/>
      <c r="X9" s="42"/>
    </row>
    <row r="10" spans="1:24" x14ac:dyDescent="0.25">
      <c r="A10" s="29">
        <f t="shared" ref="A10:A44" si="4">A9+1</f>
        <v>2</v>
      </c>
      <c r="B10" s="29" t="s">
        <v>25</v>
      </c>
      <c r="C10" s="30" t="s">
        <v>26</v>
      </c>
      <c r="D10" s="31"/>
      <c r="E10" s="32">
        <v>43682</v>
      </c>
      <c r="F10" s="31"/>
      <c r="G10" s="33">
        <v>7549205</v>
      </c>
      <c r="H10" s="34"/>
      <c r="I10" s="35">
        <v>74.3</v>
      </c>
      <c r="J10" s="34"/>
      <c r="K10" s="36">
        <v>0.12</v>
      </c>
      <c r="L10" s="34"/>
      <c r="M10" s="37">
        <f t="shared" si="0"/>
        <v>905904.6</v>
      </c>
      <c r="N10" s="34"/>
      <c r="O10" s="37">
        <v>750000</v>
      </c>
      <c r="P10" s="34"/>
      <c r="Q10" s="37">
        <f t="shared" si="1"/>
        <v>1655904.6</v>
      </c>
      <c r="R10" s="38"/>
      <c r="S10" s="37">
        <f t="shared" si="2"/>
        <v>560905931.5</v>
      </c>
      <c r="T10" s="38"/>
      <c r="U10" s="39">
        <f t="shared" si="3"/>
        <v>2.9521966287140255E-3</v>
      </c>
      <c r="V10" s="40"/>
      <c r="W10" s="41"/>
      <c r="X10" s="42"/>
    </row>
    <row r="11" spans="1:24" x14ac:dyDescent="0.25">
      <c r="A11" s="29">
        <f t="shared" si="4"/>
        <v>3</v>
      </c>
      <c r="B11" s="29" t="s">
        <v>27</v>
      </c>
      <c r="C11" s="30" t="s">
        <v>28</v>
      </c>
      <c r="D11" s="31"/>
      <c r="E11" s="32">
        <v>39905</v>
      </c>
      <c r="F11" s="31"/>
      <c r="G11" s="33">
        <f>60000000+9000000</f>
        <v>69000000</v>
      </c>
      <c r="H11" s="34"/>
      <c r="I11" s="35">
        <v>24.5</v>
      </c>
      <c r="J11" s="34"/>
      <c r="K11" s="36">
        <v>0.73499999999999999</v>
      </c>
      <c r="L11" s="34"/>
      <c r="M11" s="37">
        <f t="shared" si="0"/>
        <v>50715000</v>
      </c>
      <c r="N11" s="34"/>
      <c r="O11" s="37">
        <v>400000</v>
      </c>
      <c r="P11" s="34"/>
      <c r="Q11" s="37">
        <f t="shared" si="1"/>
        <v>51115000</v>
      </c>
      <c r="R11" s="38"/>
      <c r="S11" s="37">
        <f t="shared" si="2"/>
        <v>1690500000</v>
      </c>
      <c r="T11" s="38"/>
      <c r="U11" s="39">
        <f t="shared" si="3"/>
        <v>3.0236616385684707E-2</v>
      </c>
      <c r="V11" s="40"/>
      <c r="W11" s="41"/>
      <c r="X11" s="42"/>
    </row>
    <row r="12" spans="1:24" x14ac:dyDescent="0.25">
      <c r="A12" s="29">
        <f t="shared" si="4"/>
        <v>4</v>
      </c>
      <c r="B12" s="29" t="s">
        <v>29</v>
      </c>
      <c r="C12" s="30" t="s">
        <v>30</v>
      </c>
      <c r="D12" s="31"/>
      <c r="E12" s="32">
        <v>39064</v>
      </c>
      <c r="F12" s="31"/>
      <c r="G12" s="33">
        <f>2750000+412500</f>
        <v>3162500</v>
      </c>
      <c r="H12" s="34"/>
      <c r="I12" s="35">
        <v>25.05</v>
      </c>
      <c r="J12" s="34"/>
      <c r="K12" s="36">
        <v>0.48</v>
      </c>
      <c r="L12" s="34"/>
      <c r="M12" s="37">
        <f t="shared" si="0"/>
        <v>1518000</v>
      </c>
      <c r="N12" s="34"/>
      <c r="O12" s="37">
        <v>300000</v>
      </c>
      <c r="P12" s="34"/>
      <c r="Q12" s="37">
        <f t="shared" si="1"/>
        <v>1818000</v>
      </c>
      <c r="R12" s="38"/>
      <c r="S12" s="37">
        <f t="shared" si="2"/>
        <v>79220625</v>
      </c>
      <c r="T12" s="38"/>
      <c r="U12" s="39">
        <f t="shared" si="3"/>
        <v>2.294856926463279E-2</v>
      </c>
      <c r="V12" s="40"/>
      <c r="W12" s="41"/>
      <c r="X12" s="42"/>
    </row>
    <row r="13" spans="1:24" x14ac:dyDescent="0.25">
      <c r="A13" s="29">
        <f t="shared" si="4"/>
        <v>5</v>
      </c>
      <c r="B13" s="29" t="s">
        <v>31</v>
      </c>
      <c r="C13" s="30" t="s">
        <v>32</v>
      </c>
      <c r="D13" s="31"/>
      <c r="E13" s="32">
        <v>43886</v>
      </c>
      <c r="F13" s="31"/>
      <c r="G13" s="33">
        <v>1222942</v>
      </c>
      <c r="H13" s="34"/>
      <c r="I13" s="35">
        <v>81.77</v>
      </c>
      <c r="J13" s="34"/>
      <c r="K13" s="36">
        <v>0.7359</v>
      </c>
      <c r="L13" s="34"/>
      <c r="M13" s="37">
        <f t="shared" si="0"/>
        <v>899963.01780000003</v>
      </c>
      <c r="N13" s="34"/>
      <c r="O13" s="37">
        <v>230000</v>
      </c>
      <c r="P13" s="34"/>
      <c r="Q13" s="37">
        <f t="shared" si="1"/>
        <v>1129963.0178</v>
      </c>
      <c r="R13" s="38"/>
      <c r="S13" s="37">
        <f t="shared" si="2"/>
        <v>99999967.339999989</v>
      </c>
      <c r="T13" s="38"/>
      <c r="U13" s="39">
        <f t="shared" si="3"/>
        <v>1.1299633868460423E-2</v>
      </c>
      <c r="V13" s="40"/>
      <c r="W13" s="41"/>
      <c r="X13" s="42"/>
    </row>
    <row r="14" spans="1:24" x14ac:dyDescent="0.25">
      <c r="A14" s="29">
        <f t="shared" si="4"/>
        <v>6</v>
      </c>
      <c r="B14" s="29" t="s">
        <v>33</v>
      </c>
      <c r="C14" s="30" t="s">
        <v>34</v>
      </c>
      <c r="D14" s="31"/>
      <c r="E14" s="32">
        <v>45512</v>
      </c>
      <c r="F14" s="31"/>
      <c r="G14" s="33">
        <v>9754194</v>
      </c>
      <c r="H14" s="34"/>
      <c r="I14" s="35">
        <v>25.63</v>
      </c>
      <c r="J14" s="34"/>
      <c r="K14" s="36">
        <v>0.27</v>
      </c>
      <c r="L14" s="34"/>
      <c r="M14" s="37">
        <f t="shared" si="0"/>
        <v>2633632.3800000004</v>
      </c>
      <c r="N14" s="34"/>
      <c r="O14" s="37">
        <v>400000</v>
      </c>
      <c r="P14" s="34"/>
      <c r="Q14" s="37">
        <f t="shared" si="1"/>
        <v>3033632.3800000004</v>
      </c>
      <c r="R14" s="38"/>
      <c r="S14" s="37">
        <f t="shared" si="2"/>
        <v>249999992.22</v>
      </c>
      <c r="T14" s="38"/>
      <c r="U14" s="39">
        <f t="shared" si="3"/>
        <v>1.2134529897626572E-2</v>
      </c>
      <c r="V14" s="40"/>
      <c r="W14" s="41"/>
      <c r="X14" s="42"/>
    </row>
    <row r="15" spans="1:24" x14ac:dyDescent="0.25">
      <c r="A15" s="29">
        <f t="shared" si="4"/>
        <v>7</v>
      </c>
      <c r="B15" s="29" t="s">
        <v>35</v>
      </c>
      <c r="C15" s="30" t="s">
        <v>36</v>
      </c>
      <c r="D15" s="31"/>
      <c r="E15" s="32">
        <v>38442</v>
      </c>
      <c r="F15" s="31"/>
      <c r="G15" s="33">
        <f>20000000+3000000</f>
        <v>23000000</v>
      </c>
      <c r="H15" s="34"/>
      <c r="I15" s="35">
        <v>12.25</v>
      </c>
      <c r="J15" s="34"/>
      <c r="K15" s="36">
        <v>0.42880000000000001</v>
      </c>
      <c r="L15" s="34"/>
      <c r="M15" s="37">
        <f t="shared" si="0"/>
        <v>9862400</v>
      </c>
      <c r="N15" s="34"/>
      <c r="O15" s="37">
        <v>325000</v>
      </c>
      <c r="P15" s="34"/>
      <c r="Q15" s="37">
        <f t="shared" si="1"/>
        <v>10187400</v>
      </c>
      <c r="R15" s="38"/>
      <c r="S15" s="37">
        <f t="shared" si="2"/>
        <v>281750000</v>
      </c>
      <c r="T15" s="38"/>
      <c r="U15" s="39">
        <f t="shared" si="3"/>
        <v>3.6157586512866019E-2</v>
      </c>
      <c r="V15" s="40"/>
      <c r="W15" s="41"/>
      <c r="X15" s="42"/>
    </row>
    <row r="16" spans="1:24" x14ac:dyDescent="0.25">
      <c r="A16" s="29">
        <f>A15+1</f>
        <v>8</v>
      </c>
      <c r="B16" s="29" t="s">
        <v>37</v>
      </c>
      <c r="C16" s="30" t="s">
        <v>38</v>
      </c>
      <c r="D16" s="31"/>
      <c r="E16" s="32">
        <v>45630</v>
      </c>
      <c r="F16" s="31"/>
      <c r="G16" s="33">
        <v>7000000</v>
      </c>
      <c r="H16" s="34"/>
      <c r="I16" s="35">
        <v>96.66</v>
      </c>
      <c r="J16" s="34"/>
      <c r="K16" s="36">
        <f>W16-I16</f>
        <v>0.87000000000000455</v>
      </c>
      <c r="L16" s="34"/>
      <c r="M16" s="37">
        <f t="shared" si="0"/>
        <v>6090000.0000000317</v>
      </c>
      <c r="N16" s="34"/>
      <c r="O16" s="37">
        <v>450000</v>
      </c>
      <c r="P16" s="34"/>
      <c r="Q16" s="37">
        <f t="shared" si="1"/>
        <v>6540000.0000000317</v>
      </c>
      <c r="R16" s="38"/>
      <c r="S16" s="37">
        <f>I16*G16</f>
        <v>676620000</v>
      </c>
      <c r="T16" s="38"/>
      <c r="U16" s="39">
        <f t="shared" si="3"/>
        <v>9.6656912299370873E-3</v>
      </c>
      <c r="V16" s="40"/>
      <c r="W16" s="41">
        <v>97.53</v>
      </c>
      <c r="X16" s="43">
        <f>S16-M16-O16</f>
        <v>670080000</v>
      </c>
    </row>
    <row r="17" spans="1:25" x14ac:dyDescent="0.25">
      <c r="A17" s="29"/>
      <c r="B17" s="29"/>
      <c r="C17" s="30" t="s">
        <v>39</v>
      </c>
      <c r="D17" s="31"/>
      <c r="E17" s="32">
        <v>45721</v>
      </c>
      <c r="F17" s="31"/>
      <c r="G17" s="33">
        <v>6300000</v>
      </c>
      <c r="H17" s="34"/>
      <c r="I17" s="35">
        <v>100.211</v>
      </c>
      <c r="J17" s="34"/>
      <c r="K17" s="36">
        <f>W17-I17</f>
        <v>1.9390000000000072</v>
      </c>
      <c r="L17" s="34"/>
      <c r="M17" s="37">
        <f t="shared" si="0"/>
        <v>12215700.000000045</v>
      </c>
      <c r="N17" s="34"/>
      <c r="O17" s="37">
        <v>400000</v>
      </c>
      <c r="P17" s="34"/>
      <c r="Q17" s="37">
        <f t="shared" si="1"/>
        <v>12615700.000000045</v>
      </c>
      <c r="R17" s="38"/>
      <c r="S17" s="37">
        <f>I17*G17</f>
        <v>631329300</v>
      </c>
      <c r="T17" s="38"/>
      <c r="U17" s="39">
        <f t="shared" si="3"/>
        <v>1.9982757017613543E-2</v>
      </c>
      <c r="V17" s="40"/>
      <c r="W17" s="41">
        <v>102.15</v>
      </c>
      <c r="X17" s="43">
        <f>S17-M17-O17</f>
        <v>618713600</v>
      </c>
    </row>
    <row r="18" spans="1:25" x14ac:dyDescent="0.25">
      <c r="A18" s="29">
        <f>A16+1</f>
        <v>9</v>
      </c>
      <c r="B18" s="29" t="s">
        <v>40</v>
      </c>
      <c r="C18" s="30" t="s">
        <v>41</v>
      </c>
      <c r="D18" s="31"/>
      <c r="E18" s="32">
        <v>43188</v>
      </c>
      <c r="F18" s="31"/>
      <c r="G18" s="33">
        <v>20000000</v>
      </c>
      <c r="H18" s="34"/>
      <c r="I18" s="35">
        <v>67.325800000000001</v>
      </c>
      <c r="J18" s="34"/>
      <c r="K18" s="36">
        <f>W18-I18</f>
        <v>1.8941999999999979</v>
      </c>
      <c r="L18" s="34"/>
      <c r="M18" s="37">
        <f t="shared" si="0"/>
        <v>37883999.999999955</v>
      </c>
      <c r="N18" s="34"/>
      <c r="O18" s="37">
        <v>450000</v>
      </c>
      <c r="P18" s="34"/>
      <c r="Q18" s="37">
        <f t="shared" si="1"/>
        <v>38333999.999999955</v>
      </c>
      <c r="R18" s="38"/>
      <c r="S18" s="37">
        <f t="shared" si="2"/>
        <v>1346516000</v>
      </c>
      <c r="T18" s="38"/>
      <c r="U18" s="39">
        <f t="shared" si="3"/>
        <v>2.8469026732693824E-2</v>
      </c>
      <c r="V18" s="40"/>
      <c r="W18" s="41">
        <v>69.22</v>
      </c>
      <c r="X18" s="43">
        <f>S18-M18-O18</f>
        <v>1308182000</v>
      </c>
    </row>
    <row r="19" spans="1:25" x14ac:dyDescent="0.25">
      <c r="A19" s="29">
        <f t="shared" si="4"/>
        <v>10</v>
      </c>
      <c r="B19" s="29" t="s">
        <v>42</v>
      </c>
      <c r="C19" s="30" t="s">
        <v>43</v>
      </c>
      <c r="D19" s="31"/>
      <c r="E19" s="32">
        <v>43767</v>
      </c>
      <c r="F19" s="31"/>
      <c r="G19" s="33">
        <v>2400000</v>
      </c>
      <c r="H19" s="34"/>
      <c r="I19" s="35">
        <v>126</v>
      </c>
      <c r="J19" s="34"/>
      <c r="K19" s="36">
        <v>3.15</v>
      </c>
      <c r="L19" s="34"/>
      <c r="M19" s="37">
        <f t="shared" si="0"/>
        <v>7560000</v>
      </c>
      <c r="N19" s="34"/>
      <c r="O19" s="37">
        <v>300000</v>
      </c>
      <c r="P19" s="34"/>
      <c r="Q19" s="37">
        <f t="shared" si="1"/>
        <v>7860000</v>
      </c>
      <c r="R19" s="38"/>
      <c r="S19" s="37">
        <f t="shared" si="2"/>
        <v>302400000</v>
      </c>
      <c r="T19" s="38"/>
      <c r="U19" s="39">
        <f t="shared" si="3"/>
        <v>2.5992063492063493E-2</v>
      </c>
      <c r="V19" s="40"/>
      <c r="W19" s="41"/>
      <c r="X19" s="42"/>
    </row>
    <row r="20" spans="1:25" x14ac:dyDescent="0.25">
      <c r="A20" s="29">
        <f t="shared" si="4"/>
        <v>11</v>
      </c>
      <c r="B20" s="29" t="s">
        <v>44</v>
      </c>
      <c r="C20" s="30" t="s">
        <v>45</v>
      </c>
      <c r="D20" s="31"/>
      <c r="E20" s="32">
        <v>43787</v>
      </c>
      <c r="F20" s="31"/>
      <c r="G20" s="33">
        <v>25000000</v>
      </c>
      <c r="H20" s="34"/>
      <c r="I20" s="35">
        <v>85.99</v>
      </c>
      <c r="J20" s="34"/>
      <c r="K20" s="36">
        <f>W20-I20</f>
        <v>2.6600000000000108</v>
      </c>
      <c r="L20" s="34"/>
      <c r="M20" s="37">
        <f t="shared" si="0"/>
        <v>66500000.000000268</v>
      </c>
      <c r="N20" s="34"/>
      <c r="O20" s="37">
        <v>592000</v>
      </c>
      <c r="P20" s="34"/>
      <c r="Q20" s="37">
        <f t="shared" si="1"/>
        <v>67092000.000000268</v>
      </c>
      <c r="R20" s="38"/>
      <c r="S20" s="37">
        <f t="shared" si="2"/>
        <v>2149750000</v>
      </c>
      <c r="T20" s="38"/>
      <c r="U20" s="39">
        <f t="shared" si="3"/>
        <v>3.1209210373299344E-2</v>
      </c>
      <c r="V20" s="40"/>
      <c r="W20" s="41">
        <v>88.65</v>
      </c>
      <c r="X20" s="43">
        <f>S20-M20-O20</f>
        <v>2082657999.9999998</v>
      </c>
    </row>
    <row r="21" spans="1:25" x14ac:dyDescent="0.25">
      <c r="A21" s="29">
        <f t="shared" si="4"/>
        <v>12</v>
      </c>
      <c r="B21" s="29" t="s">
        <v>46</v>
      </c>
      <c r="C21" s="30" t="s">
        <v>47</v>
      </c>
      <c r="D21" s="31"/>
      <c r="E21" s="32">
        <v>43964</v>
      </c>
      <c r="F21" s="31"/>
      <c r="G21" s="33">
        <v>14181882</v>
      </c>
      <c r="H21" s="34"/>
      <c r="I21" s="35">
        <v>56.41</v>
      </c>
      <c r="J21" s="34"/>
      <c r="K21" s="36">
        <f>14000000/G21</f>
        <v>0.9871750448917852</v>
      </c>
      <c r="L21" s="34"/>
      <c r="M21" s="37">
        <f t="shared" si="0"/>
        <v>14000000</v>
      </c>
      <c r="N21" s="34"/>
      <c r="O21" s="37">
        <v>1000000</v>
      </c>
      <c r="P21" s="34"/>
      <c r="Q21" s="37">
        <f t="shared" si="1"/>
        <v>15000000</v>
      </c>
      <c r="R21" s="38"/>
      <c r="S21" s="37">
        <f t="shared" si="2"/>
        <v>799999963.62</v>
      </c>
      <c r="T21" s="38"/>
      <c r="U21" s="39">
        <f t="shared" si="3"/>
        <v>1.8750000852656289E-2</v>
      </c>
      <c r="V21" s="40"/>
      <c r="W21" s="41"/>
      <c r="X21" s="42"/>
    </row>
    <row r="22" spans="1:25" x14ac:dyDescent="0.25">
      <c r="A22" s="29">
        <f t="shared" si="4"/>
        <v>13</v>
      </c>
      <c r="B22" s="29" t="s">
        <v>48</v>
      </c>
      <c r="C22" s="30" t="s">
        <v>49</v>
      </c>
      <c r="D22" s="31"/>
      <c r="E22" s="32">
        <v>43259</v>
      </c>
      <c r="F22" s="31"/>
      <c r="G22" s="33">
        <v>13289037</v>
      </c>
      <c r="H22" s="34"/>
      <c r="I22" s="35">
        <v>75.25</v>
      </c>
      <c r="J22" s="34"/>
      <c r="K22" s="36">
        <v>0.8</v>
      </c>
      <c r="L22" s="34"/>
      <c r="M22" s="37">
        <f t="shared" si="0"/>
        <v>10631229.600000001</v>
      </c>
      <c r="N22" s="34"/>
      <c r="O22" s="37">
        <v>650000</v>
      </c>
      <c r="P22" s="34"/>
      <c r="Q22" s="37">
        <f t="shared" si="1"/>
        <v>11281229.600000001</v>
      </c>
      <c r="R22" s="38"/>
      <c r="S22" s="37">
        <f t="shared" si="2"/>
        <v>1000000034.25</v>
      </c>
      <c r="T22" s="38"/>
      <c r="U22" s="39">
        <f t="shared" si="3"/>
        <v>1.1281229213617901E-2</v>
      </c>
      <c r="V22" s="40"/>
      <c r="W22" s="41"/>
      <c r="X22" s="42"/>
    </row>
    <row r="23" spans="1:25" x14ac:dyDescent="0.25">
      <c r="A23" s="29">
        <f t="shared" si="4"/>
        <v>14</v>
      </c>
      <c r="B23" s="29" t="s">
        <v>50</v>
      </c>
      <c r="C23" s="30" t="s">
        <v>51</v>
      </c>
      <c r="D23" s="31"/>
      <c r="E23" s="44" t="s">
        <v>52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38"/>
      <c r="U23" s="39"/>
      <c r="V23" s="40"/>
      <c r="W23" s="41"/>
      <c r="X23" s="42"/>
    </row>
    <row r="24" spans="1:25" x14ac:dyDescent="0.25">
      <c r="A24" s="29">
        <f t="shared" si="4"/>
        <v>15</v>
      </c>
      <c r="B24" s="29" t="s">
        <v>53</v>
      </c>
      <c r="C24" s="30" t="s">
        <v>54</v>
      </c>
      <c r="D24" s="31"/>
      <c r="E24" s="32">
        <v>43994</v>
      </c>
      <c r="F24" s="31"/>
      <c r="G24" s="33">
        <v>6000000</v>
      </c>
      <c r="H24" s="34"/>
      <c r="I24" s="35">
        <v>84.91</v>
      </c>
      <c r="J24" s="34"/>
      <c r="K24" s="36">
        <f>W24-I24</f>
        <v>1.3500000000000085</v>
      </c>
      <c r="L24" s="34"/>
      <c r="M24" s="37">
        <f t="shared" si="0"/>
        <v>8100000.0000000512</v>
      </c>
      <c r="N24" s="34"/>
      <c r="O24" s="37">
        <v>600000</v>
      </c>
      <c r="P24" s="34"/>
      <c r="Q24" s="37">
        <f t="shared" si="1"/>
        <v>8700000.0000000522</v>
      </c>
      <c r="R24" s="38"/>
      <c r="S24" s="37">
        <f t="shared" si="2"/>
        <v>509460000</v>
      </c>
      <c r="T24" s="38"/>
      <c r="U24" s="39">
        <f t="shared" si="3"/>
        <v>1.7076904958191128E-2</v>
      </c>
      <c r="V24" s="40"/>
      <c r="W24" s="41">
        <v>86.26</v>
      </c>
      <c r="X24" s="43">
        <f>S24-M24-O24</f>
        <v>500759999.99999994</v>
      </c>
      <c r="Y24" s="43"/>
    </row>
    <row r="25" spans="1:25" x14ac:dyDescent="0.25">
      <c r="A25" s="29">
        <f t="shared" si="4"/>
        <v>16</v>
      </c>
      <c r="B25" s="29" t="s">
        <v>55</v>
      </c>
      <c r="C25" s="30" t="s">
        <v>56</v>
      </c>
      <c r="D25" s="31"/>
      <c r="E25" s="32">
        <v>44781</v>
      </c>
      <c r="F25" s="31"/>
      <c r="G25" s="33">
        <v>11300000</v>
      </c>
      <c r="H25" s="34"/>
      <c r="I25" s="35">
        <v>43.32</v>
      </c>
      <c r="J25" s="34"/>
      <c r="K25" s="36">
        <f>W25-I25</f>
        <v>0.99000000000000199</v>
      </c>
      <c r="L25" s="34"/>
      <c r="M25" s="37">
        <f t="shared" si="0"/>
        <v>11187000.000000022</v>
      </c>
      <c r="N25" s="34"/>
      <c r="O25" s="37">
        <v>900000</v>
      </c>
      <c r="P25" s="34"/>
      <c r="Q25" s="37">
        <f t="shared" si="1"/>
        <v>12087000.000000022</v>
      </c>
      <c r="R25" s="38"/>
      <c r="S25" s="37">
        <f t="shared" si="2"/>
        <v>489516000</v>
      </c>
      <c r="T25" s="38"/>
      <c r="U25" s="39">
        <f t="shared" si="3"/>
        <v>2.4691736327311104E-2</v>
      </c>
      <c r="V25" s="40"/>
      <c r="W25" s="41">
        <v>44.31</v>
      </c>
      <c r="X25" s="43">
        <f>S25-M25-O25</f>
        <v>477429000</v>
      </c>
    </row>
    <row r="26" spans="1:25" x14ac:dyDescent="0.25">
      <c r="A26" s="29">
        <f t="shared" si="4"/>
        <v>17</v>
      </c>
      <c r="B26" s="29" t="s">
        <v>57</v>
      </c>
      <c r="C26" s="30" t="s">
        <v>58</v>
      </c>
      <c r="D26" s="31"/>
      <c r="E26" s="32">
        <v>37879</v>
      </c>
      <c r="F26" s="31"/>
      <c r="G26" s="33">
        <f>28000000+4200000</f>
        <v>32200000</v>
      </c>
      <c r="H26" s="34"/>
      <c r="I26" s="35">
        <v>30</v>
      </c>
      <c r="J26" s="34"/>
      <c r="K26" s="36">
        <v>0.97499999999999998</v>
      </c>
      <c r="L26" s="34"/>
      <c r="M26" s="37">
        <f t="shared" si="0"/>
        <v>31395000</v>
      </c>
      <c r="N26" s="34"/>
      <c r="O26" s="37">
        <v>423000</v>
      </c>
      <c r="P26" s="34"/>
      <c r="Q26" s="37">
        <f t="shared" si="1"/>
        <v>31818000</v>
      </c>
      <c r="R26" s="38"/>
      <c r="S26" s="37">
        <f t="shared" si="2"/>
        <v>966000000</v>
      </c>
      <c r="T26" s="38"/>
      <c r="U26" s="39">
        <f t="shared" si="3"/>
        <v>3.2937888198757766E-2</v>
      </c>
      <c r="V26" s="40"/>
      <c r="W26" s="41"/>
      <c r="X26" s="42"/>
    </row>
    <row r="27" spans="1:25" x14ac:dyDescent="0.25">
      <c r="A27" s="29">
        <f t="shared" si="4"/>
        <v>18</v>
      </c>
      <c r="B27" s="29" t="s">
        <v>59</v>
      </c>
      <c r="C27" s="30" t="s">
        <v>60</v>
      </c>
      <c r="D27" s="31"/>
      <c r="E27" s="44" t="s">
        <v>52</v>
      </c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38"/>
      <c r="U27" s="39"/>
      <c r="V27" s="40"/>
      <c r="W27" s="41"/>
      <c r="X27" s="42"/>
    </row>
    <row r="28" spans="1:25" x14ac:dyDescent="0.25">
      <c r="A28" s="29">
        <f t="shared" si="4"/>
        <v>19</v>
      </c>
      <c r="B28" s="29" t="s">
        <v>61</v>
      </c>
      <c r="C28" s="30" t="s">
        <v>62</v>
      </c>
      <c r="D28" s="31"/>
      <c r="E28" s="32">
        <v>45559</v>
      </c>
      <c r="F28" s="31">
        <v>54054054</v>
      </c>
      <c r="G28" s="33">
        <v>54054054</v>
      </c>
      <c r="H28" s="34"/>
      <c r="I28" s="35">
        <v>9.25</v>
      </c>
      <c r="J28" s="34"/>
      <c r="K28" s="36">
        <v>0.27750000000000002</v>
      </c>
      <c r="L28" s="34"/>
      <c r="M28" s="37">
        <f t="shared" si="0"/>
        <v>14999999.985000001</v>
      </c>
      <c r="N28" s="34"/>
      <c r="O28" s="37">
        <v>650000</v>
      </c>
      <c r="P28" s="34"/>
      <c r="Q28" s="37">
        <f t="shared" si="1"/>
        <v>15649999.985000001</v>
      </c>
      <c r="R28" s="38"/>
      <c r="S28" s="37">
        <f t="shared" si="2"/>
        <v>499999999.5</v>
      </c>
      <c r="T28" s="38"/>
      <c r="U28" s="39">
        <f t="shared" si="3"/>
        <v>3.1300000001300003E-2</v>
      </c>
      <c r="V28" s="40"/>
      <c r="W28" s="41"/>
      <c r="X28" s="42"/>
    </row>
    <row r="29" spans="1:25" x14ac:dyDescent="0.25">
      <c r="A29" s="29">
        <f t="shared" si="4"/>
        <v>20</v>
      </c>
      <c r="B29" s="29" t="s">
        <v>63</v>
      </c>
      <c r="C29" s="30" t="s">
        <v>64</v>
      </c>
      <c r="D29" s="31"/>
      <c r="E29" s="32">
        <v>38331</v>
      </c>
      <c r="F29" s="31"/>
      <c r="G29" s="33">
        <f>3500000+525000</f>
        <v>4025000</v>
      </c>
      <c r="H29" s="34"/>
      <c r="I29" s="35">
        <v>30</v>
      </c>
      <c r="J29" s="34"/>
      <c r="K29" s="36">
        <v>1.2</v>
      </c>
      <c r="L29" s="34"/>
      <c r="M29" s="37">
        <f t="shared" si="0"/>
        <v>4830000</v>
      </c>
      <c r="N29" s="34"/>
      <c r="O29" s="37">
        <v>300000</v>
      </c>
      <c r="P29" s="34"/>
      <c r="Q29" s="37">
        <f t="shared" si="1"/>
        <v>5130000</v>
      </c>
      <c r="R29" s="38"/>
      <c r="S29" s="37">
        <f t="shared" si="2"/>
        <v>120750000</v>
      </c>
      <c r="T29" s="38"/>
      <c r="U29" s="39">
        <f t="shared" si="3"/>
        <v>4.2484472049689442E-2</v>
      </c>
      <c r="V29" s="40"/>
      <c r="W29" s="41"/>
      <c r="X29" s="42"/>
    </row>
    <row r="30" spans="1:25" x14ac:dyDescent="0.25">
      <c r="A30" s="29">
        <f t="shared" si="4"/>
        <v>21</v>
      </c>
      <c r="B30" s="29" t="s">
        <v>65</v>
      </c>
      <c r="C30" s="30" t="s">
        <v>66</v>
      </c>
      <c r="D30" s="31"/>
      <c r="E30" s="32">
        <v>43965</v>
      </c>
      <c r="F30" s="31"/>
      <c r="G30" s="33">
        <v>1300000</v>
      </c>
      <c r="H30" s="34"/>
      <c r="I30" s="35">
        <v>56</v>
      </c>
      <c r="J30" s="34"/>
      <c r="K30" s="36">
        <v>2.38</v>
      </c>
      <c r="L30" s="34"/>
      <c r="M30" s="37">
        <f t="shared" si="0"/>
        <v>3094000</v>
      </c>
      <c r="N30" s="34"/>
      <c r="O30" s="37">
        <v>500000</v>
      </c>
      <c r="P30" s="34"/>
      <c r="Q30" s="37">
        <f t="shared" si="1"/>
        <v>3594000</v>
      </c>
      <c r="R30" s="38"/>
      <c r="S30" s="37">
        <f t="shared" si="2"/>
        <v>72800000</v>
      </c>
      <c r="T30" s="38"/>
      <c r="U30" s="39">
        <f t="shared" si="3"/>
        <v>4.9368131868131868E-2</v>
      </c>
      <c r="V30" s="40"/>
      <c r="W30" s="41"/>
      <c r="X30" s="42"/>
    </row>
    <row r="31" spans="1:25" x14ac:dyDescent="0.25">
      <c r="A31" s="29">
        <f t="shared" si="4"/>
        <v>22</v>
      </c>
      <c r="B31" s="29" t="s">
        <v>67</v>
      </c>
      <c r="C31" s="30" t="s">
        <v>68</v>
      </c>
      <c r="D31" s="31"/>
      <c r="E31" s="32">
        <v>42677</v>
      </c>
      <c r="F31" s="31"/>
      <c r="G31" s="33">
        <f>12000000+1800000</f>
        <v>13800000</v>
      </c>
      <c r="H31" s="34"/>
      <c r="I31" s="35">
        <v>124</v>
      </c>
      <c r="J31" s="34"/>
      <c r="K31" s="36">
        <f>W31-I31</f>
        <v>1.8900000000000006</v>
      </c>
      <c r="L31" s="34"/>
      <c r="M31" s="37">
        <f t="shared" si="0"/>
        <v>26082000.000000007</v>
      </c>
      <c r="N31" s="34"/>
      <c r="O31" s="37">
        <v>750000</v>
      </c>
      <c r="P31" s="34"/>
      <c r="Q31" s="37">
        <f t="shared" si="1"/>
        <v>26832000.000000007</v>
      </c>
      <c r="R31" s="38"/>
      <c r="S31" s="37">
        <f t="shared" si="2"/>
        <v>1711200000</v>
      </c>
      <c r="T31" s="38"/>
      <c r="U31" s="39">
        <f t="shared" si="3"/>
        <v>1.5680224403927072E-2</v>
      </c>
      <c r="V31" s="40"/>
      <c r="W31" s="41">
        <v>125.89</v>
      </c>
      <c r="X31" s="43">
        <f>S31-M31-O31</f>
        <v>1684368000</v>
      </c>
    </row>
    <row r="32" spans="1:25" x14ac:dyDescent="0.25">
      <c r="A32" s="29">
        <f t="shared" si="4"/>
        <v>23</v>
      </c>
      <c r="B32" s="29" t="s">
        <v>69</v>
      </c>
      <c r="C32" s="30" t="s">
        <v>70</v>
      </c>
      <c r="D32" s="31"/>
      <c r="E32" s="32">
        <v>44518</v>
      </c>
      <c r="F32" s="31"/>
      <c r="G32" s="33">
        <v>6074767</v>
      </c>
      <c r="H32" s="34"/>
      <c r="I32" s="35">
        <v>53.5</v>
      </c>
      <c r="J32" s="34"/>
      <c r="K32" s="36">
        <v>1.605</v>
      </c>
      <c r="L32" s="34"/>
      <c r="M32" s="37">
        <f t="shared" si="0"/>
        <v>9750001.0350000001</v>
      </c>
      <c r="N32" s="34"/>
      <c r="O32" s="37">
        <v>900000</v>
      </c>
      <c r="P32" s="34"/>
      <c r="Q32" s="37">
        <f t="shared" si="1"/>
        <v>10650001.035</v>
      </c>
      <c r="R32" s="38"/>
      <c r="S32" s="37">
        <f t="shared" si="2"/>
        <v>325000034.5</v>
      </c>
      <c r="T32" s="38"/>
      <c r="U32" s="39">
        <f t="shared" si="3"/>
        <v>3.2769230475266302E-2</v>
      </c>
      <c r="V32" s="40"/>
      <c r="W32" s="41"/>
      <c r="X32" s="43"/>
    </row>
    <row r="33" spans="1:24" x14ac:dyDescent="0.25">
      <c r="A33" s="29">
        <f t="shared" si="4"/>
        <v>24</v>
      </c>
      <c r="B33" s="29" t="s">
        <v>71</v>
      </c>
      <c r="C33" s="30" t="s">
        <v>72</v>
      </c>
      <c r="D33" s="31"/>
      <c r="E33" s="32">
        <v>37855</v>
      </c>
      <c r="F33" s="31"/>
      <c r="G33" s="33">
        <f>4650000+674074</f>
        <v>5324074</v>
      </c>
      <c r="H33" s="34"/>
      <c r="I33" s="35">
        <v>21.6</v>
      </c>
      <c r="J33" s="34"/>
      <c r="K33" s="36">
        <v>0.79</v>
      </c>
      <c r="L33" s="34"/>
      <c r="M33" s="37">
        <f t="shared" si="0"/>
        <v>4206018.46</v>
      </c>
      <c r="N33" s="34"/>
      <c r="O33" s="37">
        <v>325000</v>
      </c>
      <c r="P33" s="34"/>
      <c r="Q33" s="37">
        <f t="shared" si="1"/>
        <v>4531018.46</v>
      </c>
      <c r="R33" s="38"/>
      <c r="S33" s="37">
        <f t="shared" si="2"/>
        <v>114999998.40000001</v>
      </c>
      <c r="T33" s="38"/>
      <c r="U33" s="39">
        <f t="shared" si="3"/>
        <v>3.9400161069915285E-2</v>
      </c>
      <c r="V33" s="40"/>
      <c r="W33" s="41"/>
      <c r="X33" s="42"/>
    </row>
    <row r="34" spans="1:24" x14ac:dyDescent="0.25">
      <c r="A34" s="29">
        <f t="shared" si="4"/>
        <v>25</v>
      </c>
      <c r="B34" s="29" t="s">
        <v>73</v>
      </c>
      <c r="C34" s="30" t="s">
        <v>74</v>
      </c>
      <c r="D34" s="31"/>
      <c r="E34" s="44" t="s">
        <v>52</v>
      </c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38"/>
      <c r="U34" s="39"/>
      <c r="V34" s="40"/>
      <c r="W34" s="41"/>
      <c r="X34" s="42"/>
    </row>
    <row r="35" spans="1:24" x14ac:dyDescent="0.25">
      <c r="A35" s="29">
        <f t="shared" si="4"/>
        <v>26</v>
      </c>
      <c r="B35" s="29" t="s">
        <v>75</v>
      </c>
      <c r="C35" s="30" t="s">
        <v>76</v>
      </c>
      <c r="D35" s="31"/>
      <c r="E35" s="32">
        <v>45629</v>
      </c>
      <c r="F35" s="32"/>
      <c r="G35" s="33">
        <v>48661801</v>
      </c>
      <c r="H35" s="34"/>
      <c r="I35" s="35">
        <v>20.55</v>
      </c>
      <c r="J35" s="34"/>
      <c r="K35" s="36">
        <v>0.39045000000000002</v>
      </c>
      <c r="L35" s="34"/>
      <c r="M35" s="37">
        <f t="shared" ref="M35" si="5">G35*K35</f>
        <v>19000000.200449999</v>
      </c>
      <c r="N35" s="34"/>
      <c r="O35" s="37">
        <v>750000</v>
      </c>
      <c r="P35" s="34"/>
      <c r="Q35" s="37">
        <f t="shared" ref="Q35" si="6">O35+M35</f>
        <v>19750000.200449999</v>
      </c>
      <c r="R35" s="38"/>
      <c r="S35" s="37">
        <f t="shared" ref="S35" si="7">I35*G35</f>
        <v>1000000010.5500001</v>
      </c>
      <c r="T35" s="38"/>
      <c r="U35" s="39">
        <f t="shared" ref="U35" si="8">Q35/S35</f>
        <v>1.97499999920875E-2</v>
      </c>
      <c r="V35" s="40"/>
      <c r="W35" s="41"/>
      <c r="X35" s="42"/>
    </row>
    <row r="36" spans="1:24" x14ac:dyDescent="0.25">
      <c r="A36" s="29">
        <f t="shared" si="4"/>
        <v>27</v>
      </c>
      <c r="B36" s="29" t="s">
        <v>77</v>
      </c>
      <c r="C36" s="30" t="s">
        <v>78</v>
      </c>
      <c r="D36" s="31"/>
      <c r="E36" s="32">
        <v>45352</v>
      </c>
      <c r="F36" s="31"/>
      <c r="G36" s="33">
        <v>9774436</v>
      </c>
      <c r="H36" s="34"/>
      <c r="I36" s="35">
        <v>66.5</v>
      </c>
      <c r="J36" s="34"/>
      <c r="K36" s="36">
        <v>1.9950000000000001</v>
      </c>
      <c r="L36" s="34"/>
      <c r="M36" s="37">
        <f t="shared" si="0"/>
        <v>19499999.82</v>
      </c>
      <c r="N36" s="34"/>
      <c r="O36" s="37">
        <v>550000</v>
      </c>
      <c r="P36" s="34"/>
      <c r="Q36" s="37">
        <f t="shared" si="1"/>
        <v>20049999.82</v>
      </c>
      <c r="R36" s="38"/>
      <c r="S36" s="37">
        <f t="shared" si="2"/>
        <v>649999994</v>
      </c>
      <c r="T36" s="38"/>
      <c r="U36" s="39">
        <f t="shared" si="3"/>
        <v>3.0846153853964497E-2</v>
      </c>
      <c r="V36" s="40"/>
      <c r="W36" s="41"/>
      <c r="X36" s="42"/>
    </row>
    <row r="37" spans="1:24" x14ac:dyDescent="0.25">
      <c r="A37" s="29">
        <f t="shared" si="4"/>
        <v>28</v>
      </c>
      <c r="B37" s="29" t="s">
        <v>79</v>
      </c>
      <c r="C37" s="30" t="s">
        <v>80</v>
      </c>
      <c r="D37" s="31"/>
      <c r="E37" s="32">
        <v>44861</v>
      </c>
      <c r="F37" s="31"/>
      <c r="G37" s="33">
        <v>10100000</v>
      </c>
      <c r="H37" s="34"/>
      <c r="I37" s="35">
        <v>43</v>
      </c>
      <c r="J37" s="34"/>
      <c r="K37" s="36">
        <v>1.2362500000000001</v>
      </c>
      <c r="L37" s="34"/>
      <c r="M37" s="37">
        <f t="shared" si="0"/>
        <v>12486125</v>
      </c>
      <c r="N37" s="34"/>
      <c r="O37" s="37">
        <f>500000+15000</f>
        <v>515000</v>
      </c>
      <c r="P37" s="34"/>
      <c r="Q37" s="37">
        <f t="shared" si="1"/>
        <v>13001125</v>
      </c>
      <c r="R37" s="38"/>
      <c r="S37" s="37">
        <f t="shared" si="2"/>
        <v>434300000</v>
      </c>
      <c r="T37" s="38"/>
      <c r="U37" s="39">
        <f t="shared" si="3"/>
        <v>2.9935816256044211E-2</v>
      </c>
      <c r="V37" s="40"/>
      <c r="W37" s="41"/>
      <c r="X37" s="42"/>
    </row>
    <row r="38" spans="1:24" x14ac:dyDescent="0.25">
      <c r="A38" s="29">
        <f t="shared" si="4"/>
        <v>29</v>
      </c>
      <c r="B38" s="29" t="s">
        <v>81</v>
      </c>
      <c r="C38" s="30" t="s">
        <v>82</v>
      </c>
      <c r="D38" s="31"/>
      <c r="E38" s="32">
        <v>43230</v>
      </c>
      <c r="F38" s="31"/>
      <c r="G38" s="33">
        <v>55000000</v>
      </c>
      <c r="H38" s="34"/>
      <c r="I38" s="35">
        <v>27</v>
      </c>
      <c r="J38" s="34"/>
      <c r="K38" s="36">
        <v>0.29430000000000001</v>
      </c>
      <c r="L38" s="34"/>
      <c r="M38" s="37">
        <f t="shared" si="0"/>
        <v>16186500</v>
      </c>
      <c r="N38" s="34"/>
      <c r="O38" s="37">
        <v>1000000</v>
      </c>
      <c r="P38" s="34"/>
      <c r="Q38" s="37">
        <f t="shared" si="1"/>
        <v>17186500</v>
      </c>
      <c r="R38" s="38"/>
      <c r="S38" s="37">
        <f t="shared" si="2"/>
        <v>1485000000</v>
      </c>
      <c r="T38" s="38"/>
      <c r="U38" s="39">
        <f t="shared" si="3"/>
        <v>1.1573400673400673E-2</v>
      </c>
      <c r="V38" s="40"/>
      <c r="W38" s="41"/>
      <c r="X38" s="43"/>
    </row>
    <row r="39" spans="1:24" x14ac:dyDescent="0.25">
      <c r="A39" s="29">
        <f t="shared" si="4"/>
        <v>30</v>
      </c>
      <c r="B39" s="29" t="s">
        <v>83</v>
      </c>
      <c r="C39" s="30" t="s">
        <v>84</v>
      </c>
      <c r="D39" s="31"/>
      <c r="E39" s="32">
        <v>37896</v>
      </c>
      <c r="F39" s="31"/>
      <c r="G39" s="33">
        <f>8250000+1237500</f>
        <v>9487500</v>
      </c>
      <c r="H39" s="34"/>
      <c r="I39" s="35">
        <v>41.75</v>
      </c>
      <c r="J39" s="34"/>
      <c r="K39" s="36">
        <v>1.2524999999999999</v>
      </c>
      <c r="L39" s="34"/>
      <c r="M39" s="37">
        <f t="shared" si="0"/>
        <v>11883093.75</v>
      </c>
      <c r="N39" s="34"/>
      <c r="O39" s="37">
        <v>350000</v>
      </c>
      <c r="P39" s="34"/>
      <c r="Q39" s="37">
        <f t="shared" si="1"/>
        <v>12233093.75</v>
      </c>
      <c r="R39" s="38"/>
      <c r="S39" s="37">
        <f t="shared" si="2"/>
        <v>396103125</v>
      </c>
      <c r="T39" s="38"/>
      <c r="U39" s="39">
        <f t="shared" si="3"/>
        <v>3.0883608277516114E-2</v>
      </c>
      <c r="V39" s="40"/>
      <c r="W39" s="41"/>
      <c r="X39" s="42"/>
    </row>
    <row r="40" spans="1:24" x14ac:dyDescent="0.25">
      <c r="A40" s="29">
        <f t="shared" si="4"/>
        <v>31</v>
      </c>
      <c r="B40" s="29" t="s">
        <v>85</v>
      </c>
      <c r="C40" s="30" t="s">
        <v>86</v>
      </c>
      <c r="D40" s="31"/>
      <c r="E40" s="32">
        <v>45238</v>
      </c>
      <c r="F40" s="31"/>
      <c r="G40" s="33">
        <v>17142858</v>
      </c>
      <c r="H40" s="34"/>
      <c r="I40" s="35">
        <v>70</v>
      </c>
      <c r="J40" s="34"/>
      <c r="K40" s="36">
        <v>1.155</v>
      </c>
      <c r="L40" s="34"/>
      <c r="M40" s="37">
        <f t="shared" si="0"/>
        <v>19800000.990000002</v>
      </c>
      <c r="N40" s="34"/>
      <c r="O40" s="37">
        <v>600000</v>
      </c>
      <c r="P40" s="34"/>
      <c r="Q40" s="37">
        <f t="shared" si="1"/>
        <v>20400000.990000002</v>
      </c>
      <c r="R40" s="38"/>
      <c r="S40" s="37">
        <f t="shared" si="2"/>
        <v>1200000060</v>
      </c>
      <c r="T40" s="38"/>
      <c r="U40" s="39">
        <f t="shared" si="3"/>
        <v>1.6999999975000003E-2</v>
      </c>
      <c r="V40" s="40"/>
      <c r="W40" s="41"/>
      <c r="X40" s="42"/>
    </row>
    <row r="41" spans="1:24" x14ac:dyDescent="0.25">
      <c r="A41" s="29">
        <f t="shared" si="4"/>
        <v>32</v>
      </c>
      <c r="B41" s="29" t="s">
        <v>87</v>
      </c>
      <c r="C41" s="30" t="s">
        <v>88</v>
      </c>
      <c r="D41" s="31"/>
      <c r="E41" s="32">
        <v>42600</v>
      </c>
      <c r="F41" s="31"/>
      <c r="G41" s="33">
        <v>32500000</v>
      </c>
      <c r="H41" s="34"/>
      <c r="I41" s="35">
        <v>49.3</v>
      </c>
      <c r="J41" s="34"/>
      <c r="K41" s="36">
        <f>W41-I41</f>
        <v>1.6600000000000037</v>
      </c>
      <c r="L41" s="34"/>
      <c r="M41" s="37">
        <f t="shared" si="0"/>
        <v>53950000.000000119</v>
      </c>
      <c r="N41" s="34"/>
      <c r="O41" s="37">
        <v>557000</v>
      </c>
      <c r="P41" s="34"/>
      <c r="Q41" s="37">
        <f t="shared" si="1"/>
        <v>54507000.000000119</v>
      </c>
      <c r="R41" s="38"/>
      <c r="S41" s="37">
        <f t="shared" si="2"/>
        <v>1602250000</v>
      </c>
      <c r="T41" s="38"/>
      <c r="U41" s="39">
        <f t="shared" si="3"/>
        <v>3.4019035731003351E-2</v>
      </c>
      <c r="V41" s="40"/>
      <c r="W41" s="41">
        <v>50.96</v>
      </c>
      <c r="X41" s="43">
        <f>S41-M41-O41</f>
        <v>1547743000</v>
      </c>
    </row>
    <row r="42" spans="1:24" x14ac:dyDescent="0.25">
      <c r="A42" s="29">
        <f t="shared" si="4"/>
        <v>33</v>
      </c>
      <c r="B42" s="29" t="s">
        <v>89</v>
      </c>
      <c r="C42" s="30" t="s">
        <v>90</v>
      </c>
      <c r="D42" s="31"/>
      <c r="E42" s="32">
        <v>43837</v>
      </c>
      <c r="F42" s="31"/>
      <c r="G42" s="33">
        <v>5375000</v>
      </c>
      <c r="H42" s="34"/>
      <c r="I42" s="35">
        <v>47.21</v>
      </c>
      <c r="J42" s="34"/>
      <c r="K42" s="36">
        <f>W42-I42</f>
        <v>1.990000000000002</v>
      </c>
      <c r="L42" s="34"/>
      <c r="M42" s="37">
        <f>G42*K42</f>
        <v>10696250.000000011</v>
      </c>
      <c r="N42" s="34"/>
      <c r="O42" s="37">
        <v>750000</v>
      </c>
      <c r="P42" s="34"/>
      <c r="Q42" s="37">
        <f>O42+M42</f>
        <v>11446250.000000011</v>
      </c>
      <c r="R42" s="38"/>
      <c r="S42" s="37">
        <f>I42*G42</f>
        <v>253753750</v>
      </c>
      <c r="T42" s="38"/>
      <c r="U42" s="39">
        <f>Q42/S42</f>
        <v>4.5107707767865546E-2</v>
      </c>
      <c r="V42" s="40"/>
      <c r="W42" s="41">
        <v>49.2</v>
      </c>
      <c r="X42" s="43">
        <f>S42-M42-O42</f>
        <v>242307500</v>
      </c>
    </row>
    <row r="43" spans="1:24" x14ac:dyDescent="0.25">
      <c r="A43" s="29">
        <f t="shared" si="4"/>
        <v>34</v>
      </c>
      <c r="B43" s="29" t="s">
        <v>91</v>
      </c>
      <c r="C43" s="30" t="s">
        <v>92</v>
      </c>
      <c r="D43" s="31"/>
      <c r="E43" s="44" t="s">
        <v>52</v>
      </c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38"/>
      <c r="U43" s="39"/>
      <c r="V43" s="40"/>
      <c r="W43" s="41"/>
      <c r="X43" s="42"/>
    </row>
    <row r="44" spans="1:24" x14ac:dyDescent="0.25">
      <c r="A44" s="29">
        <f t="shared" si="4"/>
        <v>35</v>
      </c>
      <c r="B44" s="29" t="s">
        <v>93</v>
      </c>
      <c r="C44" s="30" t="s">
        <v>94</v>
      </c>
      <c r="D44" s="31"/>
      <c r="E44" s="32">
        <v>45601</v>
      </c>
      <c r="F44" s="31"/>
      <c r="G44" s="33">
        <v>18320610</v>
      </c>
      <c r="H44" s="34"/>
      <c r="I44" s="35">
        <v>65.5</v>
      </c>
      <c r="J44" s="34"/>
      <c r="K44" s="36">
        <v>1.0644</v>
      </c>
      <c r="L44" s="34"/>
      <c r="M44" s="37">
        <f t="shared" si="0"/>
        <v>19500457.284000002</v>
      </c>
      <c r="N44" s="34"/>
      <c r="O44" s="37">
        <v>1200000</v>
      </c>
      <c r="P44" s="34"/>
      <c r="Q44" s="37">
        <f t="shared" si="1"/>
        <v>20700457.284000002</v>
      </c>
      <c r="R44" s="38"/>
      <c r="S44" s="37">
        <f t="shared" si="2"/>
        <v>1199999955</v>
      </c>
      <c r="T44" s="38"/>
      <c r="U44" s="39">
        <f t="shared" si="3"/>
        <v>1.7250381716889317E-2</v>
      </c>
      <c r="V44" s="40"/>
      <c r="W44" s="41">
        <v>63.32</v>
      </c>
      <c r="X44" s="43">
        <f>S44-M44-O44</f>
        <v>1179299497.7160001</v>
      </c>
    </row>
    <row r="45" spans="1:24" ht="17.25" customHeight="1" x14ac:dyDescent="0.3">
      <c r="A45" s="45"/>
      <c r="B45" s="45"/>
      <c r="C45" s="46" t="s">
        <v>95</v>
      </c>
      <c r="D45" s="31"/>
      <c r="E45" s="47"/>
      <c r="F45" s="31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8"/>
      <c r="R45" s="48"/>
      <c r="S45" s="31"/>
      <c r="T45" s="48"/>
      <c r="U45" s="49">
        <f>AVERAGE(U9:U44)</f>
        <v>2.478796082339443E-2</v>
      </c>
      <c r="V45" s="50"/>
      <c r="W45" s="51"/>
      <c r="X45" s="52"/>
    </row>
    <row r="46" spans="1:24" ht="17.25" customHeight="1" x14ac:dyDescent="0.3">
      <c r="A46" s="45"/>
      <c r="B46" s="45"/>
      <c r="C46" s="46"/>
      <c r="D46" s="31"/>
      <c r="E46" s="47"/>
      <c r="F46" s="31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8"/>
      <c r="R46" s="48"/>
      <c r="S46" s="48"/>
      <c r="T46" s="48"/>
      <c r="U46" s="31"/>
      <c r="V46" s="50"/>
      <c r="W46" s="51"/>
      <c r="X46" s="52"/>
    </row>
    <row r="47" spans="1:24" ht="16.5" x14ac:dyDescent="0.3">
      <c r="A47" s="45"/>
      <c r="B47" s="45"/>
      <c r="C47" s="46"/>
      <c r="D47" s="31"/>
      <c r="E47" s="47"/>
      <c r="F47" s="31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8"/>
      <c r="R47" s="48"/>
      <c r="S47" s="48"/>
      <c r="T47" s="48"/>
      <c r="U47" s="31"/>
      <c r="V47" s="50"/>
      <c r="W47" s="51"/>
      <c r="X47" s="52"/>
    </row>
    <row r="48" spans="1:24" x14ac:dyDescent="0.25">
      <c r="A48" s="53">
        <v>1</v>
      </c>
      <c r="B48" s="53" t="s">
        <v>96</v>
      </c>
      <c r="C48" s="30" t="s">
        <v>97</v>
      </c>
      <c r="D48" s="3"/>
      <c r="E48" s="54">
        <v>43434</v>
      </c>
      <c r="F48" s="3"/>
      <c r="G48" s="55">
        <v>7008087</v>
      </c>
      <c r="H48" s="56"/>
      <c r="I48" s="57">
        <v>92.75</v>
      </c>
      <c r="J48" s="56"/>
      <c r="K48" s="58">
        <v>0.97689999999999999</v>
      </c>
      <c r="L48" s="56"/>
      <c r="M48" s="59">
        <f>G48*K48</f>
        <v>6846200.1902999999</v>
      </c>
      <c r="N48" s="56"/>
      <c r="O48" s="59">
        <v>1000000</v>
      </c>
      <c r="P48" s="56"/>
      <c r="Q48" s="59">
        <f>O48+M48</f>
        <v>7846200.1902999999</v>
      </c>
      <c r="R48" s="4"/>
      <c r="S48" s="59">
        <f>I48*G48</f>
        <v>650000069.25</v>
      </c>
      <c r="T48" s="4"/>
      <c r="U48" s="60">
        <f t="shared" ref="U48:U55" si="9">Q48/S48</f>
        <v>1.2071075929812295E-2</v>
      </c>
      <c r="V48" s="61"/>
      <c r="W48" s="41"/>
      <c r="X48" s="62"/>
    </row>
    <row r="49" spans="1:25" x14ac:dyDescent="0.25">
      <c r="A49" s="53">
        <f>A48+1</f>
        <v>2</v>
      </c>
      <c r="B49" s="53" t="s">
        <v>98</v>
      </c>
      <c r="C49" s="30" t="s">
        <v>99</v>
      </c>
      <c r="D49" s="3"/>
      <c r="E49" s="54">
        <v>45244</v>
      </c>
      <c r="F49" s="3"/>
      <c r="G49" s="55">
        <v>3859649</v>
      </c>
      <c r="H49" s="56"/>
      <c r="I49" s="57">
        <v>85.5</v>
      </c>
      <c r="J49" s="56"/>
      <c r="K49" s="58">
        <v>2.7787500000000001</v>
      </c>
      <c r="L49" s="56"/>
      <c r="M49" s="59">
        <f>G49*K49</f>
        <v>10724999.658749999</v>
      </c>
      <c r="N49" s="56"/>
      <c r="O49" s="59">
        <v>1000000</v>
      </c>
      <c r="P49" s="56"/>
      <c r="Q49" s="59">
        <f>O49+M49</f>
        <v>11724999.658749999</v>
      </c>
      <c r="R49" s="4"/>
      <c r="S49" s="59">
        <f>I49*G49</f>
        <v>329999989.5</v>
      </c>
      <c r="T49" s="4"/>
      <c r="U49" s="60">
        <f t="shared" si="9"/>
        <v>3.5530303126721764E-2</v>
      </c>
      <c r="V49" s="61"/>
      <c r="W49" s="41"/>
      <c r="X49" s="62"/>
    </row>
    <row r="50" spans="1:25" x14ac:dyDescent="0.25">
      <c r="A50" s="53">
        <f t="shared" ref="A50:A55" si="10">A49+1</f>
        <v>3</v>
      </c>
      <c r="B50" s="53" t="s">
        <v>100</v>
      </c>
      <c r="C50" s="30" t="s">
        <v>101</v>
      </c>
      <c r="D50" s="3"/>
      <c r="E50" s="54">
        <v>43803</v>
      </c>
      <c r="F50" s="3"/>
      <c r="G50" s="55">
        <v>5700000</v>
      </c>
      <c r="H50" s="56"/>
      <c r="I50" s="57">
        <v>41.25</v>
      </c>
      <c r="J50" s="56"/>
      <c r="K50" s="58">
        <v>1.2375</v>
      </c>
      <c r="L50" s="56"/>
      <c r="M50" s="59">
        <f>G50*K50</f>
        <v>7053750</v>
      </c>
      <c r="N50" s="56"/>
      <c r="O50" s="59">
        <v>500000</v>
      </c>
      <c r="P50" s="56"/>
      <c r="Q50" s="59">
        <f>M50+O50</f>
        <v>7553750</v>
      </c>
      <c r="R50" s="4"/>
      <c r="S50" s="59">
        <f>I50*G50</f>
        <v>235125000</v>
      </c>
      <c r="T50" s="4"/>
      <c r="U50" s="60">
        <f t="shared" si="9"/>
        <v>3.2126528442317913E-2</v>
      </c>
      <c r="V50" s="61"/>
      <c r="W50" s="41"/>
      <c r="X50" s="62"/>
    </row>
    <row r="51" spans="1:25" x14ac:dyDescent="0.25">
      <c r="A51" s="53">
        <f t="shared" si="10"/>
        <v>4</v>
      </c>
      <c r="B51" s="53" t="s">
        <v>102</v>
      </c>
      <c r="C51" s="30" t="s">
        <v>103</v>
      </c>
      <c r="D51" s="3"/>
      <c r="E51" s="54">
        <v>42858</v>
      </c>
      <c r="F51" s="3"/>
      <c r="G51" s="55" t="s">
        <v>52</v>
      </c>
      <c r="H51" s="56"/>
      <c r="I51" s="55" t="s">
        <v>52</v>
      </c>
      <c r="J51" s="56"/>
      <c r="K51" s="55" t="s">
        <v>52</v>
      </c>
      <c r="L51" s="56"/>
      <c r="M51" s="59">
        <f>0.02*S51</f>
        <v>10000000</v>
      </c>
      <c r="N51" s="56"/>
      <c r="O51" s="59">
        <v>57950</v>
      </c>
      <c r="P51" s="56"/>
      <c r="Q51" s="59">
        <f>M51+O51</f>
        <v>10057950</v>
      </c>
      <c r="R51" s="4"/>
      <c r="S51" s="59">
        <v>500000000</v>
      </c>
      <c r="T51" s="4"/>
      <c r="U51" s="60">
        <f t="shared" si="9"/>
        <v>2.0115899999999999E-2</v>
      </c>
      <c r="V51" s="61"/>
      <c r="W51" s="41"/>
      <c r="X51" s="62"/>
    </row>
    <row r="52" spans="1:25" x14ac:dyDescent="0.25">
      <c r="A52" s="53">
        <f t="shared" si="10"/>
        <v>5</v>
      </c>
      <c r="B52" s="53" t="s">
        <v>104</v>
      </c>
      <c r="C52" s="30" t="s">
        <v>105</v>
      </c>
      <c r="D52" s="3"/>
      <c r="E52" s="54">
        <v>44650</v>
      </c>
      <c r="F52" s="3"/>
      <c r="G52" s="55">
        <v>2500000</v>
      </c>
      <c r="H52" s="56"/>
      <c r="I52" s="57">
        <v>50</v>
      </c>
      <c r="J52" s="56"/>
      <c r="K52" s="58">
        <v>1.625</v>
      </c>
      <c r="L52" s="56"/>
      <c r="M52" s="59">
        <f>G52*K52</f>
        <v>4062500</v>
      </c>
      <c r="N52" s="56"/>
      <c r="O52" s="59">
        <v>450000</v>
      </c>
      <c r="P52" s="56"/>
      <c r="Q52" s="59">
        <f>M52+O52</f>
        <v>4512500</v>
      </c>
      <c r="R52" s="4"/>
      <c r="S52" s="59">
        <f>I52*G52</f>
        <v>125000000</v>
      </c>
      <c r="T52" s="4"/>
      <c r="U52" s="60">
        <f t="shared" si="9"/>
        <v>3.61E-2</v>
      </c>
      <c r="V52" s="61"/>
      <c r="W52" s="41"/>
      <c r="X52" s="62"/>
    </row>
    <row r="53" spans="1:25" x14ac:dyDescent="0.25">
      <c r="A53" s="53">
        <f t="shared" si="10"/>
        <v>6</v>
      </c>
      <c r="B53" s="53" t="s">
        <v>106</v>
      </c>
      <c r="C53" s="30" t="s">
        <v>107</v>
      </c>
      <c r="D53" s="3"/>
      <c r="E53" s="63" t="s">
        <v>52</v>
      </c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4"/>
      <c r="U53" s="60"/>
      <c r="V53" s="61"/>
      <c r="W53" s="41"/>
      <c r="X53" s="62"/>
    </row>
    <row r="54" spans="1:25" x14ac:dyDescent="0.25">
      <c r="A54" s="53">
        <f t="shared" si="10"/>
        <v>7</v>
      </c>
      <c r="B54" s="53" t="s">
        <v>108</v>
      </c>
      <c r="C54" s="30" t="s">
        <v>109</v>
      </c>
      <c r="D54" s="3"/>
      <c r="E54" s="54">
        <v>44994</v>
      </c>
      <c r="F54" s="3"/>
      <c r="G54" s="55">
        <v>3576180</v>
      </c>
      <c r="H54" s="56"/>
      <c r="I54" s="57">
        <v>60.12</v>
      </c>
      <c r="J54" s="56"/>
      <c r="K54" s="58">
        <v>2.0291000000000001</v>
      </c>
      <c r="L54" s="56"/>
      <c r="M54" s="59">
        <f>G54*K54</f>
        <v>7256426.8380000005</v>
      </c>
      <c r="N54" s="56"/>
      <c r="O54" s="59">
        <v>538000</v>
      </c>
      <c r="P54" s="56"/>
      <c r="Q54" s="59">
        <f>M54+O54</f>
        <v>7794426.8380000005</v>
      </c>
      <c r="R54" s="4"/>
      <c r="S54" s="59">
        <f>I54*G54</f>
        <v>214999941.59999999</v>
      </c>
      <c r="T54" s="4"/>
      <c r="U54" s="60">
        <f t="shared" si="9"/>
        <v>3.6253157931090345E-2</v>
      </c>
      <c r="V54" s="61"/>
      <c r="W54" s="41"/>
      <c r="X54" s="62"/>
    </row>
    <row r="55" spans="1:25" x14ac:dyDescent="0.25">
      <c r="A55" s="53">
        <f t="shared" si="10"/>
        <v>8</v>
      </c>
      <c r="B55" s="53" t="s">
        <v>110</v>
      </c>
      <c r="C55" s="30" t="s">
        <v>111</v>
      </c>
      <c r="D55" s="3"/>
      <c r="E55" s="54">
        <v>45092</v>
      </c>
      <c r="F55" s="3"/>
      <c r="G55" s="55">
        <v>1744549</v>
      </c>
      <c r="H55" s="56">
        <v>0.6875</v>
      </c>
      <c r="I55" s="57">
        <v>64.2</v>
      </c>
      <c r="J55" s="56"/>
      <c r="K55" s="58">
        <v>0.6</v>
      </c>
      <c r="L55" s="56"/>
      <c r="M55" s="59">
        <f>G55*K55</f>
        <v>1046729.3999999999</v>
      </c>
      <c r="N55" s="56"/>
      <c r="O55" s="59">
        <v>450000</v>
      </c>
      <c r="P55" s="56"/>
      <c r="Q55" s="59">
        <f>M55+O55</f>
        <v>1496729.4</v>
      </c>
      <c r="R55" s="4"/>
      <c r="S55" s="59">
        <f>I55*G55</f>
        <v>112000045.80000001</v>
      </c>
      <c r="T55" s="4"/>
      <c r="U55" s="60">
        <f t="shared" si="9"/>
        <v>1.3363649892364595E-2</v>
      </c>
      <c r="V55" s="61"/>
      <c r="W55" s="41"/>
      <c r="X55" s="62"/>
    </row>
    <row r="56" spans="1:25" ht="17.25" customHeight="1" x14ac:dyDescent="0.3">
      <c r="A56" s="45"/>
      <c r="B56" s="45"/>
      <c r="C56" s="46" t="s">
        <v>95</v>
      </c>
      <c r="D56" s="31"/>
      <c r="E56" s="47"/>
      <c r="F56" s="31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8"/>
      <c r="R56" s="48"/>
      <c r="S56" s="31"/>
      <c r="T56" s="48"/>
      <c r="U56" s="49">
        <f>AVERAGE(U48:U55)</f>
        <v>2.6508659331758132E-2</v>
      </c>
      <c r="V56" s="50"/>
      <c r="W56" s="51"/>
      <c r="X56" s="52"/>
    </row>
    <row r="57" spans="1:25" x14ac:dyDescent="0.25">
      <c r="A57" s="64"/>
      <c r="B57" s="6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R57" s="4"/>
      <c r="S57" s="4"/>
      <c r="T57" s="4"/>
      <c r="U57" s="3"/>
    </row>
    <row r="58" spans="1:25" ht="17.25" thickBot="1" x14ac:dyDescent="0.35">
      <c r="A58" s="64"/>
      <c r="B58" s="64"/>
      <c r="C58" s="65" t="s">
        <v>112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4"/>
      <c r="S58" s="4"/>
      <c r="T58" s="4"/>
      <c r="U58" s="66">
        <f>AVERAGE(U9:U44,U48:U55)</f>
        <v>2.5096804145408425E-2</v>
      </c>
    </row>
    <row r="59" spans="1:25" ht="17.25" thickTop="1" x14ac:dyDescent="0.3">
      <c r="A59" s="64"/>
      <c r="B59" s="64"/>
      <c r="C59" s="6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  <c r="R59" s="4"/>
      <c r="S59" s="4"/>
      <c r="T59" s="4"/>
      <c r="U59" s="67"/>
    </row>
    <row r="60" spans="1:25" s="76" customFormat="1" ht="13.5" x14ac:dyDescent="0.25">
      <c r="A60" s="68"/>
      <c r="B60" s="68" t="s">
        <v>113</v>
      </c>
      <c r="C60" s="69"/>
      <c r="D60" s="70"/>
      <c r="E60" s="71"/>
      <c r="F60" s="70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2"/>
      <c r="R60" s="72"/>
      <c r="S60" s="72"/>
      <c r="T60" s="72"/>
      <c r="U60" s="70"/>
      <c r="V60" s="73"/>
      <c r="W60" s="74"/>
      <c r="X60" s="75"/>
    </row>
    <row r="61" spans="1:25" s="76" customFormat="1" ht="13.5" x14ac:dyDescent="0.25">
      <c r="A61" s="77"/>
      <c r="B61" s="78" t="s">
        <v>114</v>
      </c>
      <c r="C61" s="77" t="s">
        <v>115</v>
      </c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9"/>
      <c r="W61" s="80"/>
      <c r="X61" s="79"/>
      <c r="Y61" s="81"/>
    </row>
    <row r="62" spans="1:25" s="76" customFormat="1" ht="13.5" x14ac:dyDescent="0.25">
      <c r="A62" s="77"/>
      <c r="B62" s="78" t="s">
        <v>116</v>
      </c>
      <c r="C62" s="77" t="s">
        <v>117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9"/>
      <c r="W62" s="82"/>
      <c r="X62" s="83"/>
    </row>
    <row r="63" spans="1:25" s="76" customFormat="1" ht="13.5" x14ac:dyDescent="0.25">
      <c r="A63" s="77"/>
      <c r="B63" s="78" t="s">
        <v>118</v>
      </c>
      <c r="C63" s="77" t="s">
        <v>115</v>
      </c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9"/>
      <c r="W63" s="80"/>
      <c r="X63" s="79"/>
    </row>
    <row r="64" spans="1:25" s="76" customFormat="1" ht="13.5" x14ac:dyDescent="0.25">
      <c r="A64" s="77"/>
      <c r="B64" s="78" t="s">
        <v>119</v>
      </c>
      <c r="C64" s="77" t="s">
        <v>120</v>
      </c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77"/>
      <c r="V64" s="85"/>
      <c r="W64" s="80"/>
      <c r="X64" s="79"/>
    </row>
    <row r="65" spans="1:24" s="76" customFormat="1" ht="13.5" x14ac:dyDescent="0.25">
      <c r="A65" s="77"/>
      <c r="B65" s="78" t="s">
        <v>121</v>
      </c>
      <c r="C65" s="77" t="s">
        <v>122</v>
      </c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77"/>
      <c r="V65" s="85"/>
      <c r="W65" s="80"/>
      <c r="X65" s="79"/>
    </row>
    <row r="66" spans="1:24" s="86" customFormat="1" ht="13.5" x14ac:dyDescent="0.25">
      <c r="A66" s="77"/>
      <c r="B66" s="78" t="s">
        <v>123</v>
      </c>
      <c r="C66" s="70" t="s">
        <v>124</v>
      </c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77"/>
      <c r="V66" s="85"/>
      <c r="W66" s="80"/>
      <c r="X66" s="79"/>
    </row>
    <row r="67" spans="1:24" s="86" customFormat="1" ht="13.5" x14ac:dyDescent="0.25">
      <c r="A67" s="68"/>
      <c r="B67" s="87" t="s">
        <v>125</v>
      </c>
      <c r="C67" s="68" t="s">
        <v>126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88"/>
      <c r="R67" s="88"/>
      <c r="S67" s="88"/>
      <c r="T67" s="88"/>
      <c r="U67" s="70"/>
      <c r="V67" s="89"/>
      <c r="W67" s="74"/>
      <c r="X67" s="89"/>
    </row>
  </sheetData>
  <mergeCells count="5">
    <mergeCell ref="E23:S23"/>
    <mergeCell ref="E27:S27"/>
    <mergeCell ref="E34:S34"/>
    <mergeCell ref="E43:S43"/>
    <mergeCell ref="E53:S53"/>
  </mergeCells>
  <printOptions horizontalCentered="1"/>
  <pageMargins left="0.5" right="0.5" top="0.75" bottom="0.25" header="0" footer="0"/>
  <pageSetup scale="47" orientation="landscape" r:id="rId1"/>
  <headerFooter alignWithMargins="0">
    <oddFooter xml:space="preserve">&amp;RExhibit No. 11
Case No. IPC-E-25-16
J. Thompson,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B818-6C52-4AE4-92FB-7AEC9F3951E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11</vt:lpstr>
      <vt:lpstr>Sheet1</vt:lpstr>
      <vt:lpstr>'11'!Print_Area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2025-05-29T15:25:56Z</cp:lastPrinted>
  <dcterms:created xsi:type="dcterms:W3CDTF">2025-05-29T15:23:58Z</dcterms:created>
  <dcterms:modified xsi:type="dcterms:W3CDTF">2025-05-29T15:26:10Z</dcterms:modified>
</cp:coreProperties>
</file>